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640" activeTab="4"/>
  </bookViews>
  <sheets>
    <sheet name="Stage1_Judgment" sheetId="1" r:id="rId1"/>
    <sheet name="Stage2_Judgment" sheetId="9" r:id="rId2"/>
    <sheet name="预赛总分" sheetId="10" r:id="rId3"/>
    <sheet name="决赛" sheetId="11" r:id="rId4"/>
    <sheet name="结果" sheetId="12" r:id="rId5"/>
  </sheets>
  <calcPr calcId="145621"/>
</workbook>
</file>

<file path=xl/calcChain.xml><?xml version="1.0" encoding="utf-8"?>
<calcChain xmlns="http://schemas.openxmlformats.org/spreadsheetml/2006/main">
  <c r="F7" i="12" l="1"/>
  <c r="E5" i="12"/>
  <c r="F5" i="12" s="1"/>
  <c r="E6" i="12"/>
  <c r="F6" i="12" s="1"/>
  <c r="E3" i="12"/>
  <c r="F3" i="12" s="1"/>
  <c r="F6" i="11" l="1"/>
  <c r="H6" i="11"/>
  <c r="J6" i="11"/>
  <c r="L6" i="11"/>
  <c r="N6" i="11"/>
  <c r="P6" i="11"/>
  <c r="R6" i="11"/>
  <c r="F7" i="11"/>
  <c r="H7" i="11"/>
  <c r="J7" i="11"/>
  <c r="L7" i="11"/>
  <c r="N7" i="11"/>
  <c r="P7" i="11"/>
  <c r="R7" i="11"/>
  <c r="F8" i="11"/>
  <c r="H8" i="11"/>
  <c r="J8" i="11"/>
  <c r="L8" i="11"/>
  <c r="N8" i="11"/>
  <c r="P8" i="11"/>
  <c r="R8" i="11"/>
  <c r="F9" i="11"/>
  <c r="H9" i="11"/>
  <c r="J9" i="11"/>
  <c r="L9" i="11"/>
  <c r="N9" i="11"/>
  <c r="P9" i="11"/>
  <c r="R9" i="11"/>
  <c r="R21" i="9"/>
  <c r="R20" i="9"/>
  <c r="R19" i="9"/>
  <c r="R18" i="9"/>
  <c r="R17" i="9"/>
  <c r="R16" i="9"/>
  <c r="P21" i="9"/>
  <c r="P20" i="9"/>
  <c r="P19" i="9"/>
  <c r="P18" i="9"/>
  <c r="P17" i="9"/>
  <c r="P16" i="9"/>
  <c r="N21" i="9"/>
  <c r="N20" i="9"/>
  <c r="N19" i="9"/>
  <c r="N18" i="9"/>
  <c r="N17" i="9"/>
  <c r="N16" i="9"/>
  <c r="L21" i="9"/>
  <c r="L20" i="9"/>
  <c r="L19" i="9"/>
  <c r="L18" i="9"/>
  <c r="L17" i="9"/>
  <c r="L16" i="9"/>
  <c r="J21" i="9"/>
  <c r="J20" i="9"/>
  <c r="J19" i="9"/>
  <c r="J18" i="9"/>
  <c r="J17" i="9"/>
  <c r="J16" i="9"/>
  <c r="H21" i="9"/>
  <c r="H20" i="9"/>
  <c r="H19" i="9"/>
  <c r="H18" i="9"/>
  <c r="H17" i="9"/>
  <c r="H16" i="9"/>
  <c r="F21" i="9"/>
  <c r="F20" i="9"/>
  <c r="F19" i="9"/>
  <c r="F18" i="9"/>
  <c r="F17" i="9"/>
  <c r="F16" i="9"/>
  <c r="R11" i="9"/>
  <c r="R10" i="9"/>
  <c r="R9" i="9"/>
  <c r="R8" i="9"/>
  <c r="R7" i="9"/>
  <c r="R6" i="9"/>
  <c r="P11" i="9"/>
  <c r="P9" i="9"/>
  <c r="P8" i="9" l="1"/>
  <c r="P7" i="9"/>
  <c r="P6" i="9"/>
  <c r="P10" i="9"/>
  <c r="N11" i="9"/>
  <c r="N9" i="9"/>
  <c r="N8" i="9"/>
  <c r="N7" i="9"/>
  <c r="N6" i="9"/>
  <c r="L11" i="9"/>
  <c r="L9" i="9"/>
  <c r="L8" i="9"/>
  <c r="L7" i="9"/>
  <c r="L6" i="9"/>
  <c r="J11" i="9"/>
  <c r="J9" i="9"/>
  <c r="J8" i="9"/>
  <c r="J7" i="9"/>
  <c r="J6" i="9"/>
  <c r="H11" i="9"/>
  <c r="H9" i="9"/>
  <c r="H8" i="9"/>
  <c r="H7" i="9"/>
  <c r="H6" i="9"/>
  <c r="F11" i="9"/>
  <c r="F9" i="9"/>
  <c r="F8" i="9"/>
  <c r="F7" i="9"/>
  <c r="F6" i="9"/>
  <c r="D8" i="10"/>
  <c r="D9" i="10"/>
  <c r="D7" i="10"/>
  <c r="N13" i="1"/>
  <c r="T13" i="1"/>
  <c r="N10" i="9"/>
  <c r="L10" i="9"/>
  <c r="J10" i="9"/>
  <c r="H10" i="9" l="1"/>
  <c r="F10" i="9"/>
  <c r="T9" i="1"/>
  <c r="C31" i="9"/>
  <c r="C30" i="9"/>
  <c r="C29" i="9"/>
  <c r="C28" i="9"/>
  <c r="C27" i="9"/>
  <c r="C26" i="9"/>
  <c r="C21" i="9"/>
  <c r="C20" i="9"/>
  <c r="C19" i="9"/>
  <c r="C18" i="9"/>
  <c r="C17" i="9"/>
  <c r="C16" i="9"/>
  <c r="C25" i="11"/>
  <c r="C24" i="11"/>
  <c r="C23" i="11"/>
  <c r="C22" i="11"/>
  <c r="C17" i="11"/>
  <c r="C16" i="11"/>
  <c r="C15" i="11"/>
  <c r="C14" i="11"/>
  <c r="G25" i="11"/>
  <c r="E25" i="11"/>
  <c r="G24" i="11"/>
  <c r="E24" i="11"/>
  <c r="G23" i="11"/>
  <c r="E23" i="11"/>
  <c r="G22" i="11"/>
  <c r="E22" i="11"/>
  <c r="C10" i="11"/>
  <c r="U9" i="11"/>
  <c r="D25" i="11" s="1"/>
  <c r="U8" i="11"/>
  <c r="D24" i="11" s="1"/>
  <c r="U7" i="11"/>
  <c r="D23" i="11" s="1"/>
  <c r="U6" i="11"/>
  <c r="D22" i="11" s="1"/>
  <c r="F7" i="10"/>
  <c r="G31" i="9"/>
  <c r="G30" i="9"/>
  <c r="G29" i="9"/>
  <c r="G28" i="9"/>
  <c r="G27" i="9"/>
  <c r="G26" i="9"/>
  <c r="E31" i="9"/>
  <c r="E30" i="9"/>
  <c r="E29" i="9"/>
  <c r="E28" i="9"/>
  <c r="E27" i="9"/>
  <c r="E26" i="9"/>
  <c r="C12" i="9"/>
  <c r="U8" i="9"/>
  <c r="D28" i="9" s="1"/>
  <c r="R17" i="11" l="1"/>
  <c r="J17" i="11"/>
  <c r="P16" i="11"/>
  <c r="H16" i="11"/>
  <c r="N15" i="11"/>
  <c r="F15" i="11"/>
  <c r="L14" i="11"/>
  <c r="F17" i="11"/>
  <c r="R15" i="11"/>
  <c r="H14" i="11"/>
  <c r="P17" i="11"/>
  <c r="H17" i="11"/>
  <c r="N16" i="11"/>
  <c r="F16" i="11"/>
  <c r="L15" i="11"/>
  <c r="R14" i="11"/>
  <c r="J14" i="11"/>
  <c r="L16" i="11"/>
  <c r="P14" i="11"/>
  <c r="L17" i="11"/>
  <c r="R16" i="11"/>
  <c r="J16" i="11"/>
  <c r="P15" i="11"/>
  <c r="H15" i="11"/>
  <c r="N14" i="11"/>
  <c r="F14" i="11"/>
  <c r="N17" i="11"/>
  <c r="J15" i="11"/>
  <c r="U6" i="9"/>
  <c r="D26" i="9" s="1"/>
  <c r="U9" i="9"/>
  <c r="D29" i="9" s="1"/>
  <c r="U7" i="9"/>
  <c r="D27" i="9" s="1"/>
  <c r="U11" i="9"/>
  <c r="D31" i="9" s="1"/>
  <c r="U10" i="9"/>
  <c r="D30" i="9" s="1"/>
  <c r="U17" i="11" l="1"/>
  <c r="F25" i="11" s="1"/>
  <c r="H25" i="11" s="1"/>
  <c r="E4" i="12" s="1"/>
  <c r="F4" i="12" s="1"/>
  <c r="U16" i="11"/>
  <c r="F24" i="11" s="1"/>
  <c r="H24" i="11" s="1"/>
  <c r="U15" i="11"/>
  <c r="F23" i="11" s="1"/>
  <c r="H23" i="11" s="1"/>
  <c r="U14" i="11"/>
  <c r="F22" i="11" s="1"/>
  <c r="H22" i="11" s="1"/>
  <c r="U21" i="9"/>
  <c r="F31" i="9" s="1"/>
  <c r="H31" i="9" s="1"/>
  <c r="E9" i="10" s="1"/>
  <c r="F9" i="10" s="1"/>
  <c r="U19" i="9"/>
  <c r="F29" i="9" s="1"/>
  <c r="H29" i="9" s="1"/>
  <c r="E5" i="10" s="1"/>
  <c r="U17" i="9"/>
  <c r="F27" i="9" s="1"/>
  <c r="H27" i="9" s="1"/>
  <c r="U20" i="9"/>
  <c r="F30" i="9" s="1"/>
  <c r="H30" i="9" s="1"/>
  <c r="E8" i="10" s="1"/>
  <c r="F8" i="10" s="1"/>
  <c r="U18" i="9"/>
  <c r="F28" i="9" s="1"/>
  <c r="H28" i="9" s="1"/>
  <c r="U16" i="9"/>
  <c r="F26" i="9" s="1"/>
  <c r="H26" i="9" s="1"/>
  <c r="E6" i="10" s="1"/>
  <c r="T7" i="1"/>
  <c r="T10" i="1"/>
  <c r="T11" i="1"/>
  <c r="T12" i="1"/>
  <c r="T8" i="1"/>
  <c r="N7" i="1"/>
  <c r="N10" i="1"/>
  <c r="N9" i="1"/>
  <c r="N11" i="1"/>
  <c r="N12" i="1"/>
  <c r="N8" i="1"/>
  <c r="H7" i="1"/>
  <c r="H10" i="1"/>
  <c r="H9" i="1"/>
  <c r="H13" i="1" s="1"/>
  <c r="H11" i="1"/>
  <c r="H12" i="1"/>
  <c r="H8" i="1"/>
  <c r="O10" i="1" l="1"/>
  <c r="U9" i="1"/>
  <c r="I11" i="1"/>
  <c r="O8" i="1" l="1"/>
  <c r="O9" i="1"/>
  <c r="O7" i="1"/>
  <c r="O12" i="1"/>
  <c r="O11" i="1"/>
  <c r="I9" i="1"/>
  <c r="I8" i="1"/>
  <c r="I10" i="1"/>
  <c r="V10" i="1" s="1"/>
  <c r="I7" i="1"/>
  <c r="I12" i="1"/>
  <c r="U8" i="1"/>
  <c r="U7" i="1"/>
  <c r="U10" i="1"/>
  <c r="U12" i="1"/>
  <c r="U11" i="1"/>
  <c r="V9" i="1" l="1"/>
  <c r="V11" i="1"/>
  <c r="V12" i="1"/>
  <c r="V7" i="1"/>
  <c r="V8" i="1"/>
  <c r="V13" i="1" l="1"/>
  <c r="W8" i="1" s="1"/>
  <c r="D5" i="10" s="1"/>
  <c r="F5" i="10" s="1"/>
  <c r="W9" i="1" l="1"/>
  <c r="W7" i="1"/>
  <c r="W11" i="1"/>
  <c r="W12" i="1"/>
  <c r="W10" i="1"/>
  <c r="D6" i="10" s="1"/>
  <c r="F6" i="10" s="1"/>
</calcChain>
</file>

<file path=xl/sharedStrings.xml><?xml version="1.0" encoding="utf-8"?>
<sst xmlns="http://schemas.openxmlformats.org/spreadsheetml/2006/main" count="265" uniqueCount="68">
  <si>
    <t>Team</t>
    <phoneticPr fontId="1" type="noConversion"/>
  </si>
  <si>
    <t>Name</t>
    <phoneticPr fontId="1" type="noConversion"/>
  </si>
  <si>
    <t>0 kg</t>
    <phoneticPr fontId="1" type="noConversion"/>
  </si>
  <si>
    <t>20 kg</t>
    <phoneticPr fontId="1" type="noConversion"/>
  </si>
  <si>
    <t>40 kg</t>
    <phoneticPr fontId="1" type="noConversion"/>
  </si>
  <si>
    <t>Ψ</t>
    <phoneticPr fontId="1" type="noConversion"/>
  </si>
  <si>
    <t>distance</t>
    <phoneticPr fontId="1" type="noConversion"/>
  </si>
  <si>
    <t>angle</t>
    <phoneticPr fontId="1" type="noConversion"/>
  </si>
  <si>
    <t>error</t>
    <phoneticPr fontId="1" type="noConversion"/>
  </si>
  <si>
    <t>Average</t>
    <phoneticPr fontId="1" type="noConversion"/>
  </si>
  <si>
    <t>score</t>
    <phoneticPr fontId="1" type="noConversion"/>
  </si>
  <si>
    <t>L_m</t>
    <phoneticPr fontId="1" type="noConversion"/>
  </si>
  <si>
    <t>L_r</t>
    <phoneticPr fontId="1" type="noConversion"/>
  </si>
  <si>
    <t>Θ_m</t>
    <phoneticPr fontId="1" type="noConversion"/>
  </si>
  <si>
    <t>Θ_r</t>
    <phoneticPr fontId="1" type="noConversion"/>
  </si>
  <si>
    <t>Load &amp; Weight</t>
    <phoneticPr fontId="1" type="noConversion"/>
  </si>
  <si>
    <t>Overall Score</t>
    <phoneticPr fontId="1" type="noConversion"/>
  </si>
  <si>
    <t>Normalized Final Score</t>
    <phoneticPr fontId="1" type="noConversion"/>
  </si>
  <si>
    <t>S</t>
    <phoneticPr fontId="1" type="noConversion"/>
  </si>
  <si>
    <t>Δ=</t>
    <phoneticPr fontId="1" type="noConversion"/>
  </si>
  <si>
    <t>N</t>
    <phoneticPr fontId="1" type="noConversion"/>
  </si>
  <si>
    <t>M</t>
    <phoneticPr fontId="1" type="noConversion"/>
  </si>
  <si>
    <t>上海交大</t>
  </si>
  <si>
    <t>上海交大</t>
    <phoneticPr fontId="1" type="noConversion"/>
  </si>
  <si>
    <t>安徽建筑大学</t>
  </si>
  <si>
    <t>安徽建筑大学</t>
    <phoneticPr fontId="1" type="noConversion"/>
  </si>
  <si>
    <t>第二炮兵工程大学</t>
  </si>
  <si>
    <t>第二炮兵工程大学</t>
    <phoneticPr fontId="1" type="noConversion"/>
  </si>
  <si>
    <t>西安航空学院</t>
  </si>
  <si>
    <t>西安航空学院</t>
    <phoneticPr fontId="1" type="noConversion"/>
  </si>
  <si>
    <t>洛阳理工</t>
  </si>
  <si>
    <t>洛阳理工</t>
    <phoneticPr fontId="1" type="noConversion"/>
  </si>
  <si>
    <t>中国科学技术大学</t>
  </si>
  <si>
    <t>中国科学技术大学</t>
    <phoneticPr fontId="1" type="noConversion"/>
  </si>
  <si>
    <t>Point1</t>
    <phoneticPr fontId="1" type="noConversion"/>
  </si>
  <si>
    <t>Point2</t>
    <phoneticPr fontId="1" type="noConversion"/>
  </si>
  <si>
    <t>Point3</t>
    <phoneticPr fontId="1" type="noConversion"/>
  </si>
  <si>
    <t>Point4</t>
    <phoneticPr fontId="1" type="noConversion"/>
  </si>
  <si>
    <t>Point5</t>
    <phoneticPr fontId="1" type="noConversion"/>
  </si>
  <si>
    <t>Point6</t>
    <phoneticPr fontId="1" type="noConversion"/>
  </si>
  <si>
    <t>Point7</t>
    <phoneticPr fontId="1" type="noConversion"/>
  </si>
  <si>
    <t>第一次</t>
    <phoneticPr fontId="1" type="noConversion"/>
  </si>
  <si>
    <t>第二次</t>
    <phoneticPr fontId="1" type="noConversion"/>
  </si>
  <si>
    <t>score1</t>
    <phoneticPr fontId="1" type="noConversion"/>
  </si>
  <si>
    <t>score2</t>
    <phoneticPr fontId="1" type="noConversion"/>
  </si>
  <si>
    <t>p1</t>
    <phoneticPr fontId="1" type="noConversion"/>
  </si>
  <si>
    <t>p2</t>
    <phoneticPr fontId="1" type="noConversion"/>
  </si>
  <si>
    <t>Stage2 Final Score</t>
    <phoneticPr fontId="1" type="noConversion"/>
  </si>
  <si>
    <t>Stage1</t>
    <phoneticPr fontId="1" type="noConversion"/>
  </si>
  <si>
    <t>Stage2</t>
    <phoneticPr fontId="1" type="noConversion"/>
  </si>
  <si>
    <t>总分</t>
    <phoneticPr fontId="1" type="noConversion"/>
  </si>
  <si>
    <t>Final Score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</si>
  <si>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p2</t>
    </r>
    <r>
      <rPr>
        <sz val="8"/>
        <color theme="1"/>
        <rFont val="宋体"/>
        <family val="3"/>
        <charset val="134"/>
        <scheme val="minor"/>
      </rPr>
      <t>（0负重：1.0；20kg负重：1.3）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</si>
  <si>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p1</t>
    </r>
    <r>
      <rPr>
        <sz val="8"/>
        <color theme="1"/>
        <rFont val="宋体"/>
        <family val="3"/>
        <charset val="134"/>
        <scheme val="minor"/>
      </rPr>
      <t>（0负重：1.0；20kg负重：1.3）</t>
    </r>
    <phoneticPr fontId="1" type="noConversion"/>
  </si>
  <si>
    <t>score1</t>
    <phoneticPr fontId="1" type="noConversion"/>
  </si>
  <si>
    <t>\</t>
    <phoneticPr fontId="1" type="noConversion"/>
  </si>
  <si>
    <t xml:space="preserve">  </t>
    <phoneticPr fontId="1" type="noConversion"/>
  </si>
  <si>
    <t>\</t>
    <phoneticPr fontId="1" type="noConversion"/>
  </si>
  <si>
    <t>\</t>
    <phoneticPr fontId="1" type="noConversion"/>
  </si>
  <si>
    <t>洛阳理工</t>
    <phoneticPr fontId="1" type="noConversion"/>
  </si>
  <si>
    <t>安徽建筑</t>
    <phoneticPr fontId="1" type="noConversion"/>
  </si>
  <si>
    <t>中国科学技术大学</t>
    <phoneticPr fontId="1" type="noConversion"/>
  </si>
  <si>
    <t>上海交大</t>
    <phoneticPr fontId="1" type="noConversion"/>
  </si>
  <si>
    <t>\</t>
    <phoneticPr fontId="1" type="noConversion"/>
  </si>
  <si>
    <t>预赛</t>
    <phoneticPr fontId="1" type="noConversion"/>
  </si>
  <si>
    <t>决赛</t>
    <phoneticPr fontId="1" type="noConversion"/>
  </si>
  <si>
    <t>\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</si>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</sst>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);[Red]\(0.00\)"/>
    <numFmt numFmtId="178" formatCode="0_);[Red]\(0\)"/>
    <numFmt numFmtId="179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1" fillId="2" borderId="1" xfId="1" applyNumberFormat="1" applyBorder="1" applyAlignment="1">
      <alignment horizontal="center" vertical="center"/>
    </xf>
    <xf numFmtId="177" fontId="11" fillId="2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12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常规" xfId="0" builtinId="0"/>
    <cellStyle name="好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6"/>
  <sheetViews>
    <sheetView topLeftCell="E1" workbookViewId="0">
      <selection activeCell="W15" sqref="W15"/>
    </sheetView>
  </sheetViews>
  <sheetFormatPr defaultColWidth="9" defaultRowHeight="14.4"/>
  <cols>
    <col min="1" max="1" width="8.21875" style="1" customWidth="1"/>
    <col min="2" max="2" width="9.109375" style="3" customWidth="1"/>
    <col min="3" max="3" width="17.33203125" style="3" customWidth="1"/>
    <col min="4" max="15" width="10.77734375" style="1" customWidth="1"/>
    <col min="16" max="21" width="10.77734375" style="2" customWidth="1"/>
    <col min="22" max="22" width="10.77734375" style="1" customWidth="1"/>
    <col min="23" max="23" width="10.77734375" style="3" customWidth="1"/>
    <col min="24" max="16384" width="9" style="1"/>
  </cols>
  <sheetData>
    <row r="2" spans="2:23" ht="15" customHeight="1">
      <c r="B2" s="41" t="s">
        <v>0</v>
      </c>
      <c r="C2" s="41" t="s">
        <v>1</v>
      </c>
      <c r="D2" s="41" t="s">
        <v>15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 t="s">
        <v>16</v>
      </c>
      <c r="W2" s="47" t="s">
        <v>17</v>
      </c>
    </row>
    <row r="3" spans="2:23" ht="15" customHeight="1">
      <c r="B3" s="41"/>
      <c r="C3" s="41"/>
      <c r="D3" s="48" t="s">
        <v>2</v>
      </c>
      <c r="E3" s="48"/>
      <c r="F3" s="48"/>
      <c r="G3" s="48"/>
      <c r="H3" s="48"/>
      <c r="I3" s="48"/>
      <c r="J3" s="48" t="s">
        <v>3</v>
      </c>
      <c r="K3" s="48"/>
      <c r="L3" s="48"/>
      <c r="M3" s="48"/>
      <c r="N3" s="48"/>
      <c r="O3" s="48"/>
      <c r="P3" s="43" t="s">
        <v>4</v>
      </c>
      <c r="Q3" s="43"/>
      <c r="R3" s="43"/>
      <c r="S3" s="43"/>
      <c r="T3" s="43"/>
      <c r="U3" s="43"/>
      <c r="V3" s="42"/>
      <c r="W3" s="47"/>
    </row>
    <row r="4" spans="2:23" ht="15" customHeight="1">
      <c r="B4" s="41"/>
      <c r="C4" s="41"/>
      <c r="D4" s="48">
        <v>0.4</v>
      </c>
      <c r="E4" s="48"/>
      <c r="F4" s="48"/>
      <c r="G4" s="48"/>
      <c r="H4" s="48"/>
      <c r="I4" s="48"/>
      <c r="J4" s="48">
        <v>0.6</v>
      </c>
      <c r="K4" s="48"/>
      <c r="L4" s="48"/>
      <c r="M4" s="48"/>
      <c r="N4" s="48"/>
      <c r="O4" s="48"/>
      <c r="P4" s="43">
        <v>0.2</v>
      </c>
      <c r="Q4" s="43"/>
      <c r="R4" s="43"/>
      <c r="S4" s="43"/>
      <c r="T4" s="43"/>
      <c r="U4" s="43"/>
      <c r="V4" s="42"/>
      <c r="W4" s="47"/>
    </row>
    <row r="5" spans="2:23" ht="15" customHeight="1">
      <c r="B5" s="41"/>
      <c r="C5" s="41"/>
      <c r="D5" s="41" t="s">
        <v>6</v>
      </c>
      <c r="E5" s="41"/>
      <c r="F5" s="41" t="s">
        <v>7</v>
      </c>
      <c r="G5" s="41"/>
      <c r="H5" s="15" t="s">
        <v>8</v>
      </c>
      <c r="I5" s="41" t="s">
        <v>10</v>
      </c>
      <c r="J5" s="41" t="s">
        <v>6</v>
      </c>
      <c r="K5" s="41"/>
      <c r="L5" s="41" t="s">
        <v>7</v>
      </c>
      <c r="M5" s="41"/>
      <c r="N5" s="15" t="s">
        <v>8</v>
      </c>
      <c r="O5" s="41" t="s">
        <v>10</v>
      </c>
      <c r="P5" s="44" t="s">
        <v>6</v>
      </c>
      <c r="Q5" s="44"/>
      <c r="R5" s="44" t="s">
        <v>7</v>
      </c>
      <c r="S5" s="44"/>
      <c r="T5" s="17" t="s">
        <v>8</v>
      </c>
      <c r="U5" s="44" t="s">
        <v>10</v>
      </c>
      <c r="V5" s="42"/>
      <c r="W5" s="47"/>
    </row>
    <row r="6" spans="2:23" ht="15" customHeight="1">
      <c r="B6" s="41"/>
      <c r="C6" s="41"/>
      <c r="D6" s="18" t="s">
        <v>11</v>
      </c>
      <c r="E6" s="18" t="s">
        <v>12</v>
      </c>
      <c r="F6" s="4" t="s">
        <v>13</v>
      </c>
      <c r="G6" s="18" t="s">
        <v>14</v>
      </c>
      <c r="H6" s="4" t="s">
        <v>5</v>
      </c>
      <c r="I6" s="41"/>
      <c r="J6" s="18" t="s">
        <v>11</v>
      </c>
      <c r="K6" s="18" t="s">
        <v>12</v>
      </c>
      <c r="L6" s="4" t="s">
        <v>13</v>
      </c>
      <c r="M6" s="18" t="s">
        <v>14</v>
      </c>
      <c r="N6" s="4" t="s">
        <v>5</v>
      </c>
      <c r="O6" s="41"/>
      <c r="P6" s="16" t="s">
        <v>11</v>
      </c>
      <c r="Q6" s="16" t="s">
        <v>12</v>
      </c>
      <c r="R6" s="23" t="s">
        <v>13</v>
      </c>
      <c r="S6" s="16" t="s">
        <v>14</v>
      </c>
      <c r="T6" s="23" t="s">
        <v>5</v>
      </c>
      <c r="U6" s="44"/>
      <c r="V6" s="42"/>
      <c r="W6" s="47"/>
    </row>
    <row r="7" spans="2:23" ht="15" customHeight="1">
      <c r="B7" s="15">
        <v>1</v>
      </c>
      <c r="C7" s="15" t="s">
        <v>29</v>
      </c>
      <c r="D7" s="19"/>
      <c r="E7" s="19"/>
      <c r="F7" s="19"/>
      <c r="G7" s="19"/>
      <c r="H7" s="19" t="e">
        <f t="shared" ref="H7:H12" si="0">0.4*ABS(D7-E7)/E7+0.6*ABS(F7-G7)/G7</f>
        <v>#DIV/0!</v>
      </c>
      <c r="I7" s="19" t="e">
        <f>EXP(-0.5*(H7/H13)^2)</f>
        <v>#DIV/0!</v>
      </c>
      <c r="J7" s="19"/>
      <c r="K7" s="19"/>
      <c r="L7" s="19"/>
      <c r="M7" s="19"/>
      <c r="N7" s="19" t="e">
        <f t="shared" ref="N7:N12" si="1">0.4*ABS(J7-K7)/K7+0.6*ABS(L7-M7)/M7</f>
        <v>#DIV/0!</v>
      </c>
      <c r="O7" s="19" t="e">
        <f>EXP(-0.5*(N7/N13)^2)</f>
        <v>#DIV/0!</v>
      </c>
      <c r="P7" s="16"/>
      <c r="Q7" s="16"/>
      <c r="R7" s="16"/>
      <c r="S7" s="16"/>
      <c r="T7" s="16" t="e">
        <f t="shared" ref="T7:T12" si="2">0.4*ABS(P7-Q7)/Q7+0.6*ABS(R7-S7)/S7</f>
        <v>#DIV/0!</v>
      </c>
      <c r="U7" s="16" t="e">
        <f>EXP(-0.5*(T7/T13)^2)</f>
        <v>#DIV/0!</v>
      </c>
      <c r="V7" s="19" t="e">
        <f>D4*I7+J4*O7+P4*U7</f>
        <v>#DIV/0!</v>
      </c>
      <c r="W7" s="33" t="e">
        <f>V7/V13*100</f>
        <v>#DIV/0!</v>
      </c>
    </row>
    <row r="8" spans="2:23" ht="15" customHeight="1">
      <c r="B8" s="15">
        <v>2</v>
      </c>
      <c r="C8" s="15" t="s">
        <v>23</v>
      </c>
      <c r="D8" s="19">
        <v>2.0019999999999998</v>
      </c>
      <c r="E8" s="19">
        <v>2</v>
      </c>
      <c r="F8" s="19">
        <v>718.43299999999999</v>
      </c>
      <c r="G8" s="19">
        <v>720</v>
      </c>
      <c r="H8" s="19">
        <f t="shared" si="0"/>
        <v>1.7058333333332953E-3</v>
      </c>
      <c r="I8" s="19">
        <f>EXP(-0.5*(H8/H13)^2)</f>
        <v>0.99993924560056391</v>
      </c>
      <c r="J8" s="19">
        <v>2.0059999999999998</v>
      </c>
      <c r="K8" s="19">
        <v>2</v>
      </c>
      <c r="L8" s="19">
        <v>717.15200000000004</v>
      </c>
      <c r="M8" s="19">
        <v>720</v>
      </c>
      <c r="N8" s="19">
        <f t="shared" si="1"/>
        <v>3.5733333333332535E-3</v>
      </c>
      <c r="O8" s="19">
        <f>EXP(-0.5*(N8/N13)^2)</f>
        <v>0.80967929142413719</v>
      </c>
      <c r="P8" s="16">
        <v>1.9910000000000001</v>
      </c>
      <c r="Q8" s="16">
        <v>2</v>
      </c>
      <c r="R8" s="16">
        <v>718.77</v>
      </c>
      <c r="S8" s="16">
        <v>720</v>
      </c>
      <c r="T8" s="16">
        <f t="shared" si="2"/>
        <v>2.8249999999999946E-3</v>
      </c>
      <c r="U8" s="16">
        <f>EXP(-0.5*(T8/T13)^2)</f>
        <v>0.83924424087383442</v>
      </c>
      <c r="V8" s="19">
        <f>D4*I8+J4*O8+P4*U8</f>
        <v>1.0536321212694748</v>
      </c>
      <c r="W8" s="33">
        <f>V8/V13*100</f>
        <v>100</v>
      </c>
    </row>
    <row r="9" spans="2:23" ht="15" customHeight="1">
      <c r="B9" s="15">
        <v>3</v>
      </c>
      <c r="C9" s="15" t="s">
        <v>27</v>
      </c>
      <c r="D9" s="22">
        <v>2.851</v>
      </c>
      <c r="E9" s="19">
        <v>3</v>
      </c>
      <c r="F9" s="22">
        <v>117.239</v>
      </c>
      <c r="G9" s="19">
        <v>1080</v>
      </c>
      <c r="H9" s="19">
        <f t="shared" si="0"/>
        <v>0.55473388888888886</v>
      </c>
      <c r="I9" s="19">
        <f>EXP(-0.5*(H9/H13)^2)</f>
        <v>1.6201977692718284E-3</v>
      </c>
      <c r="J9" s="19"/>
      <c r="K9" s="19">
        <v>3</v>
      </c>
      <c r="L9" s="19"/>
      <c r="M9" s="19">
        <v>1080</v>
      </c>
      <c r="N9" s="19">
        <f t="shared" si="1"/>
        <v>1</v>
      </c>
      <c r="O9" s="19">
        <f>EXP(-0.5*(N9/N13)^2)</f>
        <v>0</v>
      </c>
      <c r="P9" s="16"/>
      <c r="Q9" s="16">
        <v>3</v>
      </c>
      <c r="R9" s="16"/>
      <c r="S9" s="16">
        <v>1080</v>
      </c>
      <c r="T9" s="16">
        <f t="shared" si="2"/>
        <v>1</v>
      </c>
      <c r="U9" s="16">
        <f>EXP(-0.5*(T9/T13)^2)</f>
        <v>0</v>
      </c>
      <c r="V9" s="19">
        <f>D4*I9+J4*O9+P4*U9</f>
        <v>6.4807910770873145E-4</v>
      </c>
      <c r="W9" s="33">
        <f>V9/V13*100</f>
        <v>6.1509049945050034E-2</v>
      </c>
    </row>
    <row r="10" spans="2:23" ht="15" customHeight="1">
      <c r="B10" s="15">
        <v>4</v>
      </c>
      <c r="C10" s="15" t="s">
        <v>33</v>
      </c>
      <c r="D10" s="19">
        <v>2.9670000000000001</v>
      </c>
      <c r="E10" s="19">
        <v>3</v>
      </c>
      <c r="F10" s="19">
        <v>1060.3520000000001</v>
      </c>
      <c r="G10" s="19">
        <v>1080</v>
      </c>
      <c r="H10" s="19">
        <f t="shared" si="0"/>
        <v>1.5315555555555495E-2</v>
      </c>
      <c r="I10" s="19">
        <f>EXP(-0.5*(H10/H13)^2)</f>
        <v>0.99511437447663698</v>
      </c>
      <c r="J10" s="19">
        <v>2.9590000000000001</v>
      </c>
      <c r="K10" s="19">
        <v>3</v>
      </c>
      <c r="L10" s="19">
        <v>1078.7560000000001</v>
      </c>
      <c r="M10" s="19">
        <v>1080</v>
      </c>
      <c r="N10" s="19">
        <f t="shared" si="1"/>
        <v>6.1577777777777204E-3</v>
      </c>
      <c r="O10" s="19">
        <f>EXP(-0.5*(N10/N13)^2)</f>
        <v>0.53422535120108794</v>
      </c>
      <c r="P10" s="16">
        <v>2.9580000000000002</v>
      </c>
      <c r="Q10" s="16">
        <v>3</v>
      </c>
      <c r="R10" s="16">
        <v>1074.9749999999999</v>
      </c>
      <c r="S10" s="16">
        <v>1080</v>
      </c>
      <c r="T10" s="16">
        <f t="shared" si="2"/>
        <v>8.3916666666666931E-3</v>
      </c>
      <c r="U10" s="16">
        <f>EXP(-0.5*(T10/T13)^2)</f>
        <v>0.21301009331216617</v>
      </c>
      <c r="V10" s="19">
        <f>D4*I10+J4*O10+P4*U10</f>
        <v>0.76118297917374078</v>
      </c>
      <c r="W10" s="33">
        <f>V10/V13*100</f>
        <v>72.243714272551316</v>
      </c>
    </row>
    <row r="11" spans="2:23" ht="15" customHeight="1">
      <c r="B11" s="15">
        <v>5</v>
      </c>
      <c r="C11" s="15" t="s">
        <v>31</v>
      </c>
      <c r="D11" s="19">
        <v>4.0140000000000002</v>
      </c>
      <c r="E11" s="19">
        <v>4</v>
      </c>
      <c r="F11" s="19">
        <v>1436.412</v>
      </c>
      <c r="G11" s="19">
        <v>1080</v>
      </c>
      <c r="H11" s="19">
        <f t="shared" si="0"/>
        <v>0.1994066666666667</v>
      </c>
      <c r="I11" s="19">
        <f>EXP(-0.5*(H11/H13)^2)</f>
        <v>0.43595012567177716</v>
      </c>
      <c r="J11" s="19">
        <v>4.024</v>
      </c>
      <c r="K11" s="19">
        <v>4</v>
      </c>
      <c r="L11" s="19">
        <v>1069.316</v>
      </c>
      <c r="M11" s="19">
        <v>1080</v>
      </c>
      <c r="N11" s="19">
        <f t="shared" si="1"/>
        <v>8.3355555555555405E-3</v>
      </c>
      <c r="O11" s="19">
        <f>EXP(-0.5*(N11/N13)^2)</f>
        <v>0.31701619548266979</v>
      </c>
      <c r="P11" s="16">
        <v>4.0279999999999996</v>
      </c>
      <c r="Q11" s="16">
        <v>4</v>
      </c>
      <c r="R11" s="16">
        <v>1076.4390000000001</v>
      </c>
      <c r="S11" s="16">
        <v>1080</v>
      </c>
      <c r="T11" s="16">
        <f t="shared" si="2"/>
        <v>4.7783333333332482E-3</v>
      </c>
      <c r="U11" s="16">
        <f>EXP(-0.5*(T11/T13)^2)</f>
        <v>0.60568325452199712</v>
      </c>
      <c r="V11" s="19">
        <f>D4*I11+J4*O11+P4*U11</f>
        <v>0.48572641846271214</v>
      </c>
      <c r="W11" s="33">
        <f>V11/V13*100</f>
        <v>46.100190821582189</v>
      </c>
    </row>
    <row r="12" spans="2:23" ht="15" customHeight="1">
      <c r="B12" s="25">
        <v>6</v>
      </c>
      <c r="C12" s="25" t="s">
        <v>25</v>
      </c>
      <c r="D12" s="26">
        <v>4.0250000000000004</v>
      </c>
      <c r="E12" s="26">
        <v>4</v>
      </c>
      <c r="F12" s="26">
        <v>719.904</v>
      </c>
      <c r="G12" s="26">
        <v>720</v>
      </c>
      <c r="H12" s="26">
        <f t="shared" si="0"/>
        <v>2.5800000000000389E-3</v>
      </c>
      <c r="I12" s="26">
        <f>EXP(-0.5*(H12/H13)^2)</f>
        <v>0.99986102810973143</v>
      </c>
      <c r="J12" s="26">
        <v>4.0259999999999998</v>
      </c>
      <c r="K12" s="26">
        <v>4</v>
      </c>
      <c r="L12" s="26">
        <v>721.596</v>
      </c>
      <c r="M12" s="26">
        <v>720</v>
      </c>
      <c r="N12" s="26">
        <f t="shared" si="1"/>
        <v>3.929999999999983E-3</v>
      </c>
      <c r="O12" s="26">
        <f>EXP(-0.5*(N12/N13)^2)</f>
        <v>0.77463371994766439</v>
      </c>
      <c r="P12" s="27">
        <v>4.016</v>
      </c>
      <c r="Q12" s="27">
        <v>4</v>
      </c>
      <c r="R12" s="27">
        <v>721.79</v>
      </c>
      <c r="S12" s="27">
        <v>720</v>
      </c>
      <c r="T12" s="27">
        <f t="shared" si="2"/>
        <v>3.0916666666666376E-3</v>
      </c>
      <c r="U12" s="27">
        <f>EXP(-0.5*(T12/T13)^2)</f>
        <v>0.81066425150779198</v>
      </c>
      <c r="V12" s="26">
        <f>D4*I12+J4*O12+P4*U12</f>
        <v>1.0268574935140495</v>
      </c>
      <c r="W12" s="34">
        <f>V12/V13*100</f>
        <v>97.45882578796423</v>
      </c>
    </row>
    <row r="13" spans="2:23" s="6" customFormat="1" ht="15" customHeight="1">
      <c r="B13" s="45" t="s">
        <v>9</v>
      </c>
      <c r="C13" s="46"/>
      <c r="D13" s="40"/>
      <c r="E13" s="40"/>
      <c r="F13" s="40"/>
      <c r="G13" s="40"/>
      <c r="H13" s="22">
        <f>AVERAGE(H8:H12)</f>
        <v>0.15474838888888889</v>
      </c>
      <c r="I13" s="22"/>
      <c r="J13" s="40"/>
      <c r="K13" s="40"/>
      <c r="L13" s="40"/>
      <c r="M13" s="40"/>
      <c r="N13" s="22">
        <f>AVERAGE(N8,N10,N11,N12)</f>
        <v>5.4991666666666245E-3</v>
      </c>
      <c r="O13" s="22"/>
      <c r="P13" s="43"/>
      <c r="Q13" s="43"/>
      <c r="R13" s="43"/>
      <c r="S13" s="43"/>
      <c r="T13" s="20">
        <f>AVERAGE(T8,T10,T11,T12)</f>
        <v>4.7716666666666437E-3</v>
      </c>
      <c r="U13" s="20"/>
      <c r="V13" s="22">
        <f>MAX(V8:V12)</f>
        <v>1.0536321212694748</v>
      </c>
      <c r="W13" s="21"/>
    </row>
    <row r="14" spans="2:23" s="6" customFormat="1" ht="15" customHeight="1">
      <c r="B14" s="8"/>
      <c r="C14" s="8"/>
      <c r="P14" s="5"/>
      <c r="Q14" s="5"/>
      <c r="R14" s="5"/>
      <c r="S14" s="5"/>
      <c r="T14" s="5"/>
      <c r="U14" s="10"/>
      <c r="W14" s="9"/>
    </row>
    <row r="15" spans="2:23" s="6" customFormat="1" ht="15" customHeight="1">
      <c r="B15" s="8"/>
      <c r="C15" s="8"/>
      <c r="L15" s="7"/>
      <c r="P15" s="5"/>
      <c r="Q15" s="5"/>
      <c r="R15" s="10"/>
      <c r="S15" s="5"/>
      <c r="T15" s="5"/>
      <c r="U15" s="10"/>
      <c r="W15" s="9"/>
    </row>
    <row r="16" spans="2:23" s="6" customFormat="1" ht="15" customHeight="1">
      <c r="B16" s="8"/>
      <c r="P16" s="5"/>
      <c r="Q16" s="5"/>
      <c r="R16" s="5"/>
      <c r="S16" s="5"/>
      <c r="T16" s="5"/>
      <c r="U16" s="5"/>
      <c r="W16" s="9"/>
    </row>
  </sheetData>
  <sortState ref="C7:AC16">
    <sortCondition descending="1" ref="W7:W16"/>
  </sortState>
  <mergeCells count="24">
    <mergeCell ref="W2:W6"/>
    <mergeCell ref="B2:B6"/>
    <mergeCell ref="P4:U4"/>
    <mergeCell ref="D2:U2"/>
    <mergeCell ref="P5:Q5"/>
    <mergeCell ref="R5:S5"/>
    <mergeCell ref="D3:I3"/>
    <mergeCell ref="D4:I4"/>
    <mergeCell ref="J3:O3"/>
    <mergeCell ref="J4:O4"/>
    <mergeCell ref="P3:U3"/>
    <mergeCell ref="D5:E5"/>
    <mergeCell ref="F5:G5"/>
    <mergeCell ref="D13:G13"/>
    <mergeCell ref="J13:M13"/>
    <mergeCell ref="L5:M5"/>
    <mergeCell ref="C2:C6"/>
    <mergeCell ref="V2:V6"/>
    <mergeCell ref="P13:S13"/>
    <mergeCell ref="I5:I6"/>
    <mergeCell ref="O5:O6"/>
    <mergeCell ref="U5:U6"/>
    <mergeCell ref="J5:K5"/>
    <mergeCell ref="B13:C13"/>
  </mergeCells>
  <phoneticPr fontId="1" type="noConversion"/>
  <pageMargins left="0" right="0" top="1.7322834645669292" bottom="0.74803149606299213" header="0.31496062992125984" footer="0.31496062992125984"/>
  <pageSetup paperSize="9" scale="66" orientation="landscape" horizontalDpi="1200" verticalDpi="1200" r:id="rId1"/>
  <headerFooter>
    <oddHeader>&amp;CStage 1 Final Score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1"/>
  <sheetViews>
    <sheetView workbookViewId="0">
      <selection activeCell="R6" sqref="R6:R9"/>
    </sheetView>
  </sheetViews>
  <sheetFormatPr defaultRowHeight="14.4"/>
  <cols>
    <col min="3" max="3" width="18.6640625" customWidth="1"/>
    <col min="4" max="21" width="10.77734375" customWidth="1"/>
  </cols>
  <sheetData>
    <row r="2" spans="2:21">
      <c r="B2" s="13" t="s">
        <v>19</v>
      </c>
      <c r="C2" s="11">
        <v>0.3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4.4" customHeight="1">
      <c r="B3" s="41" t="s">
        <v>0</v>
      </c>
      <c r="C3" s="41" t="s">
        <v>1</v>
      </c>
      <c r="D3" s="49" t="s">
        <v>53</v>
      </c>
      <c r="E3" s="41" t="s">
        <v>41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2:21">
      <c r="B4" s="41"/>
      <c r="C4" s="41"/>
      <c r="D4" s="42"/>
      <c r="E4" s="41" t="s">
        <v>34</v>
      </c>
      <c r="F4" s="41"/>
      <c r="G4" s="41" t="s">
        <v>35</v>
      </c>
      <c r="H4" s="41"/>
      <c r="I4" s="50" t="s">
        <v>36</v>
      </c>
      <c r="J4" s="50"/>
      <c r="K4" s="41" t="s">
        <v>37</v>
      </c>
      <c r="L4" s="41"/>
      <c r="M4" s="41" t="s">
        <v>38</v>
      </c>
      <c r="N4" s="41"/>
      <c r="O4" s="41" t="s">
        <v>39</v>
      </c>
      <c r="P4" s="41"/>
      <c r="Q4" s="41" t="s">
        <v>40</v>
      </c>
      <c r="R4" s="41"/>
      <c r="S4" s="41" t="s">
        <v>20</v>
      </c>
      <c r="T4" s="41" t="s">
        <v>21</v>
      </c>
      <c r="U4" s="41" t="s">
        <v>43</v>
      </c>
    </row>
    <row r="5" spans="2:21">
      <c r="B5" s="41"/>
      <c r="C5" s="41"/>
      <c r="D5" s="42"/>
      <c r="E5" s="15" t="s">
        <v>8</v>
      </c>
      <c r="F5" s="15" t="s">
        <v>18</v>
      </c>
      <c r="G5" s="15" t="s">
        <v>8</v>
      </c>
      <c r="H5" s="15" t="s">
        <v>18</v>
      </c>
      <c r="I5" s="14" t="s">
        <v>8</v>
      </c>
      <c r="J5" s="14" t="s">
        <v>18</v>
      </c>
      <c r="K5" s="15" t="s">
        <v>8</v>
      </c>
      <c r="L5" s="15" t="s">
        <v>18</v>
      </c>
      <c r="M5" s="15" t="s">
        <v>8</v>
      </c>
      <c r="N5" s="15" t="s">
        <v>18</v>
      </c>
      <c r="O5" s="15" t="s">
        <v>8</v>
      </c>
      <c r="P5" s="15" t="s">
        <v>18</v>
      </c>
      <c r="Q5" s="15" t="s">
        <v>8</v>
      </c>
      <c r="R5" s="15" t="s">
        <v>18</v>
      </c>
      <c r="S5" s="41"/>
      <c r="T5" s="41"/>
      <c r="U5" s="41"/>
    </row>
    <row r="6" spans="2:21">
      <c r="B6" s="15">
        <v>1</v>
      </c>
      <c r="C6" s="15" t="s">
        <v>33</v>
      </c>
      <c r="D6" s="19">
        <v>1.3</v>
      </c>
      <c r="E6" s="19">
        <v>0.158</v>
      </c>
      <c r="F6" s="28">
        <f xml:space="preserve"> IF(E6&lt;=C2,100/7*(1-E6/2/C2),0)</f>
        <v>10.523809523809524</v>
      </c>
      <c r="G6" s="19">
        <v>0.14399999999999999</v>
      </c>
      <c r="H6" s="28">
        <f xml:space="preserve"> IF(G6&lt;=C2,100/7*(1-G6/2/C2),0)</f>
        <v>10.857142857142858</v>
      </c>
      <c r="I6" s="19">
        <v>0.114</v>
      </c>
      <c r="J6" s="28">
        <f xml:space="preserve"> IF(I6&lt;=C2,100/7*(1-I6/2/C2),0)</f>
        <v>11.571428571428573</v>
      </c>
      <c r="K6" s="19">
        <v>0.14299999999999999</v>
      </c>
      <c r="L6" s="28">
        <f xml:space="preserve"> IF(K6&lt;=C2,100/7*(1-K6/2/C2),0)</f>
        <v>10.880952380952381</v>
      </c>
      <c r="M6" s="19">
        <v>0.13900000000000001</v>
      </c>
      <c r="N6" s="28">
        <f xml:space="preserve"> IF(M6&lt;=C2,100/7*(1-M6/2/C2),0)</f>
        <v>10.976190476190476</v>
      </c>
      <c r="O6" s="19">
        <v>0.14299999999999999</v>
      </c>
      <c r="P6" s="28">
        <f xml:space="preserve"> IF(O6&lt;=C2,100/7*(1-O6/2/C2),0)</f>
        <v>10.880952380952381</v>
      </c>
      <c r="Q6" s="19">
        <v>0.13900000000000001</v>
      </c>
      <c r="R6" s="29">
        <f xml:space="preserve"> IF(Q6&lt;=C2,100/7*(1-Q6/2/C2),0)</f>
        <v>10.976190476190476</v>
      </c>
      <c r="S6" s="19">
        <v>2</v>
      </c>
      <c r="T6" s="19">
        <v>1</v>
      </c>
      <c r="U6" s="19">
        <f t="shared" ref="U6:U11" si="0" xml:space="preserve"> SUM(F6,H6,J6,L6,N6,P6,R6)+S6*100/7-T6*25/7</f>
        <v>101.66666666666667</v>
      </c>
    </row>
    <row r="7" spans="2:21">
      <c r="B7" s="15">
        <v>2</v>
      </c>
      <c r="C7" s="15" t="s">
        <v>25</v>
      </c>
      <c r="D7" s="19"/>
      <c r="E7" s="19" t="s">
        <v>55</v>
      </c>
      <c r="F7" s="28">
        <f xml:space="preserve"> IF(E7&lt;=C2,100/7*(1-E7/2/C2),0)</f>
        <v>0</v>
      </c>
      <c r="G7" s="19" t="s">
        <v>55</v>
      </c>
      <c r="H7" s="28">
        <f xml:space="preserve"> IF(G7&lt;=C2,100/7*(1-G7/2/C2),0)</f>
        <v>0</v>
      </c>
      <c r="I7" s="19" t="s">
        <v>55</v>
      </c>
      <c r="J7" s="19">
        <f xml:space="preserve"> IF(I7&lt;=C2,100/7*(1-I7/2/C2),0)</f>
        <v>0</v>
      </c>
      <c r="K7" s="19" t="s">
        <v>55</v>
      </c>
      <c r="L7" s="19">
        <f xml:space="preserve"> IF(K7&lt;=C2,100/7*(1-K7/2/C2),0)</f>
        <v>0</v>
      </c>
      <c r="M7" s="19" t="s">
        <v>55</v>
      </c>
      <c r="N7" s="28">
        <f xml:space="preserve"> IF(M7&lt;=C2,100/7*(1-M7/2/C2),0)</f>
        <v>0</v>
      </c>
      <c r="O7" s="19" t="s">
        <v>55</v>
      </c>
      <c r="P7" s="28">
        <f xml:space="preserve"> IF(O7&lt;=C2,100/7*(1-O7/2/C2),0)</f>
        <v>0</v>
      </c>
      <c r="Q7" s="19" t="s">
        <v>55</v>
      </c>
      <c r="R7" s="29">
        <f xml:space="preserve"> IF(Q7&lt;=C2,100/7*(1-Q7/2/C2),0)</f>
        <v>0</v>
      </c>
      <c r="S7" s="19"/>
      <c r="T7" s="19"/>
      <c r="U7" s="19">
        <f t="shared" si="0"/>
        <v>0</v>
      </c>
    </row>
    <row r="8" spans="2:21">
      <c r="B8" s="15">
        <v>3</v>
      </c>
      <c r="C8" s="15" t="s">
        <v>29</v>
      </c>
      <c r="D8" s="19"/>
      <c r="E8" s="19" t="s">
        <v>55</v>
      </c>
      <c r="F8" s="28">
        <f xml:space="preserve"> IF(E8&lt;=C2,100/7*(1-E8/2/C2),0)</f>
        <v>0</v>
      </c>
      <c r="G8" s="19" t="s">
        <v>55</v>
      </c>
      <c r="H8" s="28">
        <f xml:space="preserve"> IF(G8&lt;=C2,100/7*(1-G8/2/C2),0)</f>
        <v>0</v>
      </c>
      <c r="I8" s="19" t="s">
        <v>55</v>
      </c>
      <c r="J8" s="28">
        <f xml:space="preserve"> IF(I8&lt;=C2,100/7*(1-I8/2/C2),0)</f>
        <v>0</v>
      </c>
      <c r="K8" s="19" t="s">
        <v>55</v>
      </c>
      <c r="L8" s="28">
        <f xml:space="preserve"> IF(K8&lt;=C2,100/7*(1-K8/2/C2),0)</f>
        <v>0</v>
      </c>
      <c r="M8" s="19" t="s">
        <v>55</v>
      </c>
      <c r="N8" s="28">
        <f xml:space="preserve"> IF(M8&lt;=C2,100/7*(1-M8/2/C2),0)</f>
        <v>0</v>
      </c>
      <c r="O8" s="19" t="s">
        <v>55</v>
      </c>
      <c r="P8" s="28">
        <f xml:space="preserve"> IF(O8&lt;=C2,100/7*(1-O8/2/C2),0)</f>
        <v>0</v>
      </c>
      <c r="Q8" s="19" t="s">
        <v>55</v>
      </c>
      <c r="R8" s="29">
        <f xml:space="preserve"> IF(Q8&lt;=C2,100/7*(1-Q8/2/C2),0)</f>
        <v>0</v>
      </c>
      <c r="S8" s="19"/>
      <c r="T8" s="19"/>
      <c r="U8" s="19">
        <f t="shared" si="0"/>
        <v>0</v>
      </c>
    </row>
    <row r="9" spans="2:21">
      <c r="B9" s="15">
        <v>4</v>
      </c>
      <c r="C9" s="15" t="s">
        <v>23</v>
      </c>
      <c r="D9" s="19">
        <v>1.3</v>
      </c>
      <c r="E9" s="19">
        <v>0.20399999999999999</v>
      </c>
      <c r="F9" s="28">
        <f xml:space="preserve"> IF(E9&lt;=C2,100/7*(1-E9/2/C2),0)</f>
        <v>9.4285714285714288</v>
      </c>
      <c r="G9" s="19">
        <v>0.21</v>
      </c>
      <c r="H9" s="28">
        <f xml:space="preserve"> IF(G9&lt;=C2,100/7*(1-G9/2/C2),0)</f>
        <v>9.2857142857142865</v>
      </c>
      <c r="I9" s="19">
        <v>0.20300000000000001</v>
      </c>
      <c r="J9" s="28">
        <f xml:space="preserve"> IF(I9&lt;=C2,100/7*(1-I9/2/C2),0)</f>
        <v>9.4523809523809526</v>
      </c>
      <c r="K9" s="19">
        <v>0.13300000000000001</v>
      </c>
      <c r="L9" s="28">
        <f xml:space="preserve"> IF(K9&lt;=C2,100/7*(1-K9/2/C2),0)</f>
        <v>11.119047619047619</v>
      </c>
      <c r="M9" s="19">
        <v>0.13</v>
      </c>
      <c r="N9" s="28">
        <f xml:space="preserve"> IF(M9&lt;=C2,100/7*(1-M9/2/C2),0)</f>
        <v>11.190476190476192</v>
      </c>
      <c r="O9" s="19">
        <v>5.6000000000000001E-2</v>
      </c>
      <c r="P9" s="29">
        <f xml:space="preserve"> IF(O9&lt;=C2,100/7*(1-O9/2/C2),0)</f>
        <v>12.952380952380953</v>
      </c>
      <c r="Q9" s="19">
        <v>0.111</v>
      </c>
      <c r="R9" s="29">
        <f xml:space="preserve"> IF(Q9&lt;=C2,100/7*(1-Q9/2/C2),0)</f>
        <v>11.642857142857142</v>
      </c>
      <c r="S9" s="19">
        <v>2</v>
      </c>
      <c r="T9" s="19">
        <v>0</v>
      </c>
      <c r="U9" s="19">
        <f t="shared" si="0"/>
        <v>103.64285714285714</v>
      </c>
    </row>
    <row r="10" spans="2:21">
      <c r="B10" s="15">
        <v>5</v>
      </c>
      <c r="C10" s="15" t="s">
        <v>31</v>
      </c>
      <c r="D10" s="19">
        <v>1.3</v>
      </c>
      <c r="E10" s="19">
        <v>0.36799999999999999</v>
      </c>
      <c r="F10" s="19">
        <f xml:space="preserve"> IF(E10&lt;=C2,100/7*(1-E10/2/C2),0)</f>
        <v>0</v>
      </c>
      <c r="G10" s="19">
        <v>0.214</v>
      </c>
      <c r="H10" s="24">
        <f xml:space="preserve"> IF(G10&lt;=C2,100/7*(1-G10/2/C2),0)</f>
        <v>9.1904761904761898</v>
      </c>
      <c r="I10" s="19">
        <v>0.72199999999999998</v>
      </c>
      <c r="J10" s="28">
        <f xml:space="preserve"> IF(I10&lt;=C2,100/7*(1-I10/2/C2),0)</f>
        <v>0</v>
      </c>
      <c r="K10" s="19">
        <v>0.58599999999999997</v>
      </c>
      <c r="L10" s="28">
        <f xml:space="preserve"> IF(K10&lt;=C2,100/7*(1-K10/2/C2),0)</f>
        <v>0</v>
      </c>
      <c r="M10" s="19">
        <v>0.31900000000000001</v>
      </c>
      <c r="N10" s="28">
        <f xml:space="preserve"> IF(M10&lt;=C2,100/7*(1-M10/2/C2),0)</f>
        <v>0</v>
      </c>
      <c r="O10" s="19">
        <v>1.2150000000000001</v>
      </c>
      <c r="P10" s="19">
        <f xml:space="preserve"> IF(O10&lt;=C2,100/7*(1-O10/2/C2),0)</f>
        <v>0</v>
      </c>
      <c r="Q10" s="19">
        <v>0.157</v>
      </c>
      <c r="R10" s="29">
        <f xml:space="preserve"> IF(Q10&lt;=C2,100/7*(1-Q10/2/C2),0)</f>
        <v>10.547619047619047</v>
      </c>
      <c r="S10" s="19">
        <v>0</v>
      </c>
      <c r="T10" s="19">
        <v>1</v>
      </c>
      <c r="U10" s="19">
        <f t="shared" si="0"/>
        <v>16.166666666666664</v>
      </c>
    </row>
    <row r="11" spans="2:21">
      <c r="B11" s="15">
        <v>6</v>
      </c>
      <c r="C11" s="15" t="s">
        <v>27</v>
      </c>
      <c r="D11" s="19">
        <v>1</v>
      </c>
      <c r="E11" s="19">
        <v>0.16500000000000001</v>
      </c>
      <c r="F11" s="28">
        <f xml:space="preserve"> IF(E11&lt;=C2,100/7*(1-E11/2/C2),0)</f>
        <v>10.357142857142858</v>
      </c>
      <c r="G11" s="19">
        <v>0.68799999999999994</v>
      </c>
      <c r="H11" s="28">
        <f xml:space="preserve"> IF(G11&lt;=C2,100/7*(1-G11/2/C2),0)</f>
        <v>0</v>
      </c>
      <c r="I11" s="19">
        <v>0.17100000000000001</v>
      </c>
      <c r="J11" s="28">
        <f xml:space="preserve"> IF(I11&lt;=C2,100/7*(1-I11/2/C2),0)</f>
        <v>10.214285714285714</v>
      </c>
      <c r="K11" s="19">
        <v>0.25900000000000001</v>
      </c>
      <c r="L11" s="28">
        <f xml:space="preserve"> IF(K11&lt;=C2,100/7*(1-K11/2/C2),0)</f>
        <v>8.1190476190476204</v>
      </c>
      <c r="M11" s="19">
        <v>1</v>
      </c>
      <c r="N11" s="28">
        <f xml:space="preserve"> IF(M11&lt;=C2,100/7*(1-M11/2/C2),0)</f>
        <v>0</v>
      </c>
      <c r="O11" s="19">
        <v>1</v>
      </c>
      <c r="P11" s="29">
        <f xml:space="preserve"> IF(O11&lt;=C2,100/7*(1-O11/2/C2),0)</f>
        <v>0</v>
      </c>
      <c r="Q11" s="19">
        <v>1</v>
      </c>
      <c r="R11" s="29">
        <f xml:space="preserve"> IF(Q11&lt;=C2,100/7*(1-Q11/2/C2),0)</f>
        <v>0</v>
      </c>
      <c r="S11" s="19">
        <v>1</v>
      </c>
      <c r="T11" s="19">
        <v>0</v>
      </c>
      <c r="U11" s="19">
        <f t="shared" si="0"/>
        <v>42.976190476190474</v>
      </c>
    </row>
    <row r="12" spans="2:21">
      <c r="B12" s="13" t="s">
        <v>19</v>
      </c>
      <c r="C12" s="11">
        <f xml:space="preserve"> C2</f>
        <v>0.3</v>
      </c>
    </row>
    <row r="13" spans="2:21" ht="14.4" customHeight="1">
      <c r="B13" s="41" t="s">
        <v>0</v>
      </c>
      <c r="C13" s="41" t="s">
        <v>1</v>
      </c>
      <c r="D13" s="49" t="s">
        <v>52</v>
      </c>
      <c r="E13" s="41" t="s">
        <v>42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2:21">
      <c r="B14" s="41"/>
      <c r="C14" s="41"/>
      <c r="D14" s="42"/>
      <c r="E14" s="41" t="s">
        <v>34</v>
      </c>
      <c r="F14" s="41"/>
      <c r="G14" s="41" t="s">
        <v>35</v>
      </c>
      <c r="H14" s="41"/>
      <c r="I14" s="50" t="s">
        <v>36</v>
      </c>
      <c r="J14" s="50"/>
      <c r="K14" s="41" t="s">
        <v>37</v>
      </c>
      <c r="L14" s="41"/>
      <c r="M14" s="41" t="s">
        <v>38</v>
      </c>
      <c r="N14" s="41"/>
      <c r="O14" s="41" t="s">
        <v>39</v>
      </c>
      <c r="P14" s="41"/>
      <c r="Q14" s="41" t="s">
        <v>40</v>
      </c>
      <c r="R14" s="41"/>
      <c r="S14" s="41" t="s">
        <v>20</v>
      </c>
      <c r="T14" s="41" t="s">
        <v>21</v>
      </c>
      <c r="U14" s="41" t="s">
        <v>44</v>
      </c>
    </row>
    <row r="15" spans="2:21">
      <c r="B15" s="41"/>
      <c r="C15" s="41"/>
      <c r="D15" s="42"/>
      <c r="E15" s="15" t="s">
        <v>8</v>
      </c>
      <c r="F15" s="15" t="s">
        <v>18</v>
      </c>
      <c r="G15" s="15" t="s">
        <v>8</v>
      </c>
      <c r="H15" s="15" t="s">
        <v>18</v>
      </c>
      <c r="I15" s="14" t="s">
        <v>8</v>
      </c>
      <c r="J15" s="14" t="s">
        <v>18</v>
      </c>
      <c r="K15" s="15" t="s">
        <v>8</v>
      </c>
      <c r="L15" s="15" t="s">
        <v>18</v>
      </c>
      <c r="M15" s="15" t="s">
        <v>8</v>
      </c>
      <c r="N15" s="15" t="s">
        <v>18</v>
      </c>
      <c r="O15" s="15" t="s">
        <v>8</v>
      </c>
      <c r="P15" s="15" t="s">
        <v>18</v>
      </c>
      <c r="Q15" s="15" t="s">
        <v>8</v>
      </c>
      <c r="R15" s="15" t="s">
        <v>18</v>
      </c>
      <c r="S15" s="41"/>
      <c r="T15" s="41"/>
      <c r="U15" s="41"/>
    </row>
    <row r="16" spans="2:21">
      <c r="B16" s="15">
        <v>1</v>
      </c>
      <c r="C16" s="15" t="str">
        <f t="shared" ref="C16:C21" si="1">C6</f>
        <v>中国科学技术大学</v>
      </c>
      <c r="D16" s="19">
        <v>1.3</v>
      </c>
      <c r="E16" s="19">
        <v>0.05</v>
      </c>
      <c r="F16" s="19">
        <f xml:space="preserve"> IF(E16&lt;=C12,100/7*(1-E16/2/C12),0)</f>
        <v>13.095238095238095</v>
      </c>
      <c r="G16" s="19">
        <v>0.1</v>
      </c>
      <c r="H16" s="19">
        <f xml:space="preserve"> IF(G16&lt;=C12,100/7*(1-G16/2/C12),0)</f>
        <v>11.904761904761905</v>
      </c>
      <c r="I16" s="19">
        <v>0.121</v>
      </c>
      <c r="J16" s="19">
        <f xml:space="preserve"> IF(I16&lt;=C12,100/7*(1-I16/2/C12),0)</f>
        <v>11.404761904761905</v>
      </c>
      <c r="K16" s="19">
        <v>0.122</v>
      </c>
      <c r="L16" s="29">
        <f xml:space="preserve"> IF(K16&lt;=C12,100/7*(1-K16/2/C12),0)</f>
        <v>11.380952380952381</v>
      </c>
      <c r="M16" s="19">
        <v>9.4E-2</v>
      </c>
      <c r="N16" s="29">
        <f xml:space="preserve"> IF(M16&lt;=C12,100/7*(1-M16/2/C12),0)</f>
        <v>12.047619047619047</v>
      </c>
      <c r="O16" s="19">
        <v>0.19800000000000001</v>
      </c>
      <c r="P16" s="29">
        <f xml:space="preserve"> IF(O16&lt;=C12,100/7*(1-O16/2/C12),0)</f>
        <v>9.5714285714285712</v>
      </c>
      <c r="Q16" s="19">
        <v>0.18</v>
      </c>
      <c r="R16" s="29">
        <f xml:space="preserve"> IF(Q16&lt;=C12,100/7*(1-Q16/2/C12),0)</f>
        <v>10</v>
      </c>
      <c r="S16" s="19">
        <v>2</v>
      </c>
      <c r="T16" s="19">
        <v>0</v>
      </c>
      <c r="U16" s="19">
        <f t="shared" ref="U16:U21" si="2" xml:space="preserve"> SUM(F16,H16,J16,L16,N16,P16,R16)+S16*100/7-T16*25/7</f>
        <v>107.97619047619047</v>
      </c>
    </row>
    <row r="17" spans="2:21">
      <c r="B17" s="15">
        <v>2</v>
      </c>
      <c r="C17" s="15" t="str">
        <f t="shared" si="1"/>
        <v>安徽建筑大学</v>
      </c>
      <c r="D17" s="19"/>
      <c r="E17" s="19" t="s">
        <v>55</v>
      </c>
      <c r="F17" s="19">
        <f xml:space="preserve"> IF(E17&lt;=C12,100/7*(1-E17/2/C12),0)</f>
        <v>0</v>
      </c>
      <c r="G17" s="19" t="s">
        <v>55</v>
      </c>
      <c r="H17" s="19">
        <f xml:space="preserve"> IF(G17&lt;=C12,100/7*(1-G17/2/C12),0)</f>
        <v>0</v>
      </c>
      <c r="I17" s="19" t="s">
        <v>55</v>
      </c>
      <c r="J17" s="19">
        <f xml:space="preserve"> IF(I17&lt;=C12,100/7*(1-I17/2/C12),0)</f>
        <v>0</v>
      </c>
      <c r="K17" s="19" t="s">
        <v>55</v>
      </c>
      <c r="L17" s="29">
        <f xml:space="preserve"> IF(K17&lt;=C12,100/7*(1-K17/2/C12),0)</f>
        <v>0</v>
      </c>
      <c r="M17" s="19" t="s">
        <v>55</v>
      </c>
      <c r="N17" s="29">
        <f xml:space="preserve"> IF(M17&lt;=C12,100/7*(1-M17/2/C12),0)</f>
        <v>0</v>
      </c>
      <c r="O17" s="19" t="s">
        <v>55</v>
      </c>
      <c r="P17" s="29">
        <f xml:space="preserve"> IF(O17&lt;=C12,100/7*(1-O17/2/C12),0)</f>
        <v>0</v>
      </c>
      <c r="Q17" s="19" t="s">
        <v>55</v>
      </c>
      <c r="R17" s="29">
        <f xml:space="preserve"> IF(Q17&lt;=C12,100/7*(1-Q17/2/C12),0)</f>
        <v>0</v>
      </c>
      <c r="S17" s="19"/>
      <c r="T17" s="19"/>
      <c r="U17" s="19">
        <f t="shared" si="2"/>
        <v>0</v>
      </c>
    </row>
    <row r="18" spans="2:21">
      <c r="B18" s="15">
        <v>3</v>
      </c>
      <c r="C18" s="15" t="str">
        <f t="shared" si="1"/>
        <v>西安航空学院</v>
      </c>
      <c r="D18" s="19"/>
      <c r="E18" s="19" t="s">
        <v>55</v>
      </c>
      <c r="F18" s="19">
        <f xml:space="preserve"> IF(E18&lt;=C12,100/7*(1-E18/2/C12),0)</f>
        <v>0</v>
      </c>
      <c r="G18" s="19" t="s">
        <v>55</v>
      </c>
      <c r="H18" s="19">
        <f xml:space="preserve"> IF(G18&lt;=C12,100/7*(1-G18/2/C12),0)</f>
        <v>0</v>
      </c>
      <c r="I18" s="19" t="s">
        <v>55</v>
      </c>
      <c r="J18" s="19">
        <f xml:space="preserve"> IF(I18&lt;=C12,100/7*(1-I18/2/C12),0)</f>
        <v>0</v>
      </c>
      <c r="K18" s="19" t="s">
        <v>55</v>
      </c>
      <c r="L18" s="29">
        <f xml:space="preserve"> IF(K18&lt;=C12,100/7*(1-K18/2/C12),0)</f>
        <v>0</v>
      </c>
      <c r="M18" s="19" t="s">
        <v>55</v>
      </c>
      <c r="N18" s="29">
        <f xml:space="preserve"> IF(M18&lt;=C12,100/7*(1-M18/2/C12),0)</f>
        <v>0</v>
      </c>
      <c r="O18" s="19" t="s">
        <v>55</v>
      </c>
      <c r="P18" s="29">
        <f xml:space="preserve"> IF(O18&lt;=C12,100/7*(1-O18/2/C12),0)</f>
        <v>0</v>
      </c>
      <c r="Q18" s="19" t="s">
        <v>55</v>
      </c>
      <c r="R18" s="29">
        <f xml:space="preserve"> IF(Q18&lt;=C12,100/7*(1-Q18/2/C12),0)</f>
        <v>0</v>
      </c>
      <c r="S18" s="19"/>
      <c r="T18" s="19"/>
      <c r="U18" s="19">
        <f t="shared" si="2"/>
        <v>0</v>
      </c>
    </row>
    <row r="19" spans="2:21">
      <c r="B19" s="15">
        <v>4</v>
      </c>
      <c r="C19" s="15" t="str">
        <f t="shared" si="1"/>
        <v>上海交大</v>
      </c>
      <c r="D19" s="19"/>
      <c r="E19" s="19" t="s">
        <v>55</v>
      </c>
      <c r="F19" s="19">
        <f xml:space="preserve"> IF(E19&lt;=C12,100/7*(1-E19/2/C12),0)</f>
        <v>0</v>
      </c>
      <c r="G19" s="19" t="s">
        <v>55</v>
      </c>
      <c r="H19" s="19">
        <f xml:space="preserve"> IF(G19&lt;=C12,100/7*(1-G19/2/C12),0)</f>
        <v>0</v>
      </c>
      <c r="I19" s="19" t="s">
        <v>55</v>
      </c>
      <c r="J19" s="19">
        <f xml:space="preserve"> IF(I19&lt;=C12,100/7*(1-I19/2/C12),0)</f>
        <v>0</v>
      </c>
      <c r="K19" s="19" t="s">
        <v>55</v>
      </c>
      <c r="L19" s="29">
        <f xml:space="preserve"> IF(K19&lt;=C12,100/7*(1-K19/2/C12),0)</f>
        <v>0</v>
      </c>
      <c r="M19" s="19" t="s">
        <v>55</v>
      </c>
      <c r="N19" s="29">
        <f xml:space="preserve"> IF(M19&lt;=C12,100/7*(1-M19/2/C12),0)</f>
        <v>0</v>
      </c>
      <c r="O19" s="19" t="s">
        <v>55</v>
      </c>
      <c r="P19" s="29">
        <f xml:space="preserve"> IF(O19&lt;=C12,100/7*(1-O19/2/C12),0)</f>
        <v>0</v>
      </c>
      <c r="Q19" s="19" t="s">
        <v>55</v>
      </c>
      <c r="R19" s="29">
        <f xml:space="preserve"> IF(Q19&lt;=C12,100/7*(1-Q19/2/C12),0)</f>
        <v>0</v>
      </c>
      <c r="S19" s="19"/>
      <c r="T19" s="19"/>
      <c r="U19" s="19">
        <f t="shared" si="2"/>
        <v>0</v>
      </c>
    </row>
    <row r="20" spans="2:21">
      <c r="B20" s="15">
        <v>5</v>
      </c>
      <c r="C20" s="15" t="str">
        <f t="shared" si="1"/>
        <v>洛阳理工</v>
      </c>
      <c r="D20" s="19">
        <v>1.3</v>
      </c>
      <c r="E20" s="19">
        <v>1.3</v>
      </c>
      <c r="F20" s="19">
        <f xml:space="preserve"> IF(E20&lt;=C12,100/7*(1-E20/2/C12),0)</f>
        <v>0</v>
      </c>
      <c r="G20" s="19">
        <v>0.16400000000000001</v>
      </c>
      <c r="H20" s="19">
        <f xml:space="preserve"> IF(G20&lt;=C12,100/7*(1-G20/2/C12),0)</f>
        <v>10.38095238095238</v>
      </c>
      <c r="I20" s="19">
        <v>0.115</v>
      </c>
      <c r="J20" s="19">
        <f xml:space="preserve"> IF(I20&lt;=C12,100/7*(1-I20/2/C12),0)</f>
        <v>11.547619047619049</v>
      </c>
      <c r="K20" s="19" t="s">
        <v>55</v>
      </c>
      <c r="L20" s="29">
        <f xml:space="preserve"> IF(K20&lt;=C12,100/7*(1-K20/2/C12),0)</f>
        <v>0</v>
      </c>
      <c r="M20" s="19" t="s">
        <v>55</v>
      </c>
      <c r="N20" s="29">
        <f xml:space="preserve"> IF(M20&lt;=C12,100/7*(1-M20/2/C12),0)</f>
        <v>0</v>
      </c>
      <c r="O20" s="19">
        <v>1</v>
      </c>
      <c r="P20" s="29">
        <f xml:space="preserve"> IF(O20&lt;=C12,100/7*(1-O20/2/C12),0)</f>
        <v>0</v>
      </c>
      <c r="Q20" s="19">
        <v>1</v>
      </c>
      <c r="R20" s="29">
        <f xml:space="preserve"> IF(Q20&lt;=C12,100/7*(1-Q20/2/C12),0)</f>
        <v>0</v>
      </c>
      <c r="S20" s="19">
        <v>0</v>
      </c>
      <c r="T20" s="19">
        <v>1</v>
      </c>
      <c r="U20" s="19">
        <f t="shared" si="2"/>
        <v>18.357142857142858</v>
      </c>
    </row>
    <row r="21" spans="2:21">
      <c r="B21" s="15">
        <v>6</v>
      </c>
      <c r="C21" s="15" t="str">
        <f t="shared" si="1"/>
        <v>第二炮兵工程大学</v>
      </c>
      <c r="D21" s="19"/>
      <c r="E21" s="19" t="s">
        <v>55</v>
      </c>
      <c r="F21" s="19">
        <f xml:space="preserve"> IF(E21&lt;=C12,100/7*(1-E21/2/C12),0)</f>
        <v>0</v>
      </c>
      <c r="G21" s="19" t="s">
        <v>55</v>
      </c>
      <c r="H21" s="19">
        <f xml:space="preserve"> IF(G21&lt;=C12,100/7*(1-G21/2/C12),0)</f>
        <v>0</v>
      </c>
      <c r="I21" s="19" t="s">
        <v>55</v>
      </c>
      <c r="J21" s="19">
        <f xml:space="preserve"> IF(I21&lt;=C12,100/7*(1-I21/2/C12),0)</f>
        <v>0</v>
      </c>
      <c r="K21" s="19" t="s">
        <v>55</v>
      </c>
      <c r="L21" s="29">
        <f xml:space="preserve"> IF(K21&lt;=C12,100/7*(1-K21/2/C12),0)</f>
        <v>0</v>
      </c>
      <c r="M21" s="19" t="s">
        <v>55</v>
      </c>
      <c r="N21" s="29">
        <f xml:space="preserve"> IF(M21&lt;=C12,100/7*(1-M21/2/C12),0)</f>
        <v>0</v>
      </c>
      <c r="O21" s="19" t="s">
        <v>55</v>
      </c>
      <c r="P21" s="29">
        <f xml:space="preserve"> IF(O21&lt;=C12,100/7*(1-O21/2/C12),0)</f>
        <v>0</v>
      </c>
      <c r="Q21" s="19" t="s">
        <v>55</v>
      </c>
      <c r="R21" s="29">
        <f xml:space="preserve"> IF(Q21&lt;=C12,100/7*(1-Q21/2/C12),0)</f>
        <v>0</v>
      </c>
      <c r="S21" s="19"/>
      <c r="T21" s="19"/>
      <c r="U21" s="19">
        <f t="shared" si="2"/>
        <v>0</v>
      </c>
    </row>
    <row r="23" spans="2:21">
      <c r="B23" s="41" t="s">
        <v>0</v>
      </c>
      <c r="C23" s="41" t="s">
        <v>1</v>
      </c>
      <c r="D23" s="47" t="s">
        <v>54</v>
      </c>
      <c r="E23" s="47" t="s">
        <v>45</v>
      </c>
      <c r="F23" s="41" t="s">
        <v>44</v>
      </c>
      <c r="G23" s="47" t="s">
        <v>46</v>
      </c>
      <c r="H23" s="47" t="s">
        <v>47</v>
      </c>
    </row>
    <row r="24" spans="2:21">
      <c r="B24" s="41"/>
      <c r="C24" s="41"/>
      <c r="D24" s="47"/>
      <c r="E24" s="47"/>
      <c r="F24" s="41"/>
      <c r="G24" s="47"/>
      <c r="H24" s="47"/>
    </row>
    <row r="25" spans="2:21">
      <c r="B25" s="41"/>
      <c r="C25" s="41"/>
      <c r="D25" s="47"/>
      <c r="E25" s="47"/>
      <c r="F25" s="41"/>
      <c r="G25" s="47"/>
      <c r="H25" s="47"/>
    </row>
    <row r="26" spans="2:21">
      <c r="B26" s="15">
        <v>1</v>
      </c>
      <c r="C26" s="15" t="str">
        <f t="shared" ref="C26:C31" si="3">C6</f>
        <v>中国科学技术大学</v>
      </c>
      <c r="D26" s="12">
        <f xml:space="preserve"> U6</f>
        <v>101.66666666666667</v>
      </c>
      <c r="E26" s="12">
        <f t="shared" ref="E26:E31" si="4">D6</f>
        <v>1.3</v>
      </c>
      <c r="F26" s="19">
        <f t="shared" ref="F26:F31" si="5">U16</f>
        <v>107.97619047619047</v>
      </c>
      <c r="G26" s="12">
        <f t="shared" ref="G26:G31" si="6">D16</f>
        <v>1.3</v>
      </c>
      <c r="H26" s="12">
        <f t="shared" ref="H26:H31" si="7" xml:space="preserve"> MAX(D26*E26,F26*G26)</f>
        <v>140.36904761904762</v>
      </c>
    </row>
    <row r="27" spans="2:21">
      <c r="B27" s="15">
        <v>2</v>
      </c>
      <c r="C27" s="15" t="str">
        <f t="shared" si="3"/>
        <v>安徽建筑大学</v>
      </c>
      <c r="D27" s="12">
        <f>U7</f>
        <v>0</v>
      </c>
      <c r="E27" s="12">
        <f t="shared" si="4"/>
        <v>0</v>
      </c>
      <c r="F27" s="19">
        <f t="shared" si="5"/>
        <v>0</v>
      </c>
      <c r="G27" s="12">
        <f t="shared" si="6"/>
        <v>0</v>
      </c>
      <c r="H27" s="12">
        <f t="shared" si="7"/>
        <v>0</v>
      </c>
    </row>
    <row r="28" spans="2:21">
      <c r="B28" s="15">
        <v>3</v>
      </c>
      <c r="C28" s="15" t="str">
        <f t="shared" si="3"/>
        <v>西安航空学院</v>
      </c>
      <c r="D28" s="12">
        <f>U8</f>
        <v>0</v>
      </c>
      <c r="E28" s="12">
        <f t="shared" si="4"/>
        <v>0</v>
      </c>
      <c r="F28" s="19">
        <f t="shared" si="5"/>
        <v>0</v>
      </c>
      <c r="G28" s="12">
        <f t="shared" si="6"/>
        <v>0</v>
      </c>
      <c r="H28" s="12">
        <f t="shared" si="7"/>
        <v>0</v>
      </c>
    </row>
    <row r="29" spans="2:21">
      <c r="B29" s="15">
        <v>4</v>
      </c>
      <c r="C29" s="15" t="str">
        <f t="shared" si="3"/>
        <v>上海交大</v>
      </c>
      <c r="D29" s="12">
        <f>U9</f>
        <v>103.64285714285714</v>
      </c>
      <c r="E29" s="12">
        <f t="shared" si="4"/>
        <v>1.3</v>
      </c>
      <c r="F29" s="19">
        <f t="shared" si="5"/>
        <v>0</v>
      </c>
      <c r="G29" s="12">
        <f t="shared" si="6"/>
        <v>0</v>
      </c>
      <c r="H29" s="12">
        <f t="shared" si="7"/>
        <v>134.73571428571429</v>
      </c>
    </row>
    <row r="30" spans="2:21">
      <c r="B30" s="15">
        <v>5</v>
      </c>
      <c r="C30" s="15" t="str">
        <f t="shared" si="3"/>
        <v>洛阳理工</v>
      </c>
      <c r="D30" s="12">
        <f>U10</f>
        <v>16.166666666666664</v>
      </c>
      <c r="E30" s="12">
        <f t="shared" si="4"/>
        <v>1.3</v>
      </c>
      <c r="F30" s="19">
        <f t="shared" si="5"/>
        <v>18.357142857142858</v>
      </c>
      <c r="G30" s="12">
        <f t="shared" si="6"/>
        <v>1.3</v>
      </c>
      <c r="H30" s="12">
        <f t="shared" si="7"/>
        <v>23.864285714285717</v>
      </c>
    </row>
    <row r="31" spans="2:21">
      <c r="B31" s="15">
        <v>6</v>
      </c>
      <c r="C31" s="15" t="str">
        <f t="shared" si="3"/>
        <v>第二炮兵工程大学</v>
      </c>
      <c r="D31" s="12">
        <f>U11</f>
        <v>42.976190476190474</v>
      </c>
      <c r="E31" s="12">
        <f t="shared" si="4"/>
        <v>1</v>
      </c>
      <c r="F31" s="19">
        <f t="shared" si="5"/>
        <v>0</v>
      </c>
      <c r="G31" s="12">
        <f t="shared" si="6"/>
        <v>0</v>
      </c>
      <c r="H31" s="12">
        <f t="shared" si="7"/>
        <v>42.976190476190474</v>
      </c>
    </row>
  </sheetData>
  <mergeCells count="35">
    <mergeCell ref="F23:F25"/>
    <mergeCell ref="G23:G25"/>
    <mergeCell ref="H23:H25"/>
    <mergeCell ref="Q14:R14"/>
    <mergeCell ref="S14:S15"/>
    <mergeCell ref="T14:T15"/>
    <mergeCell ref="U14:U15"/>
    <mergeCell ref="B23:B25"/>
    <mergeCell ref="C23:C25"/>
    <mergeCell ref="E23:E25"/>
    <mergeCell ref="D23:D25"/>
    <mergeCell ref="B13:B15"/>
    <mergeCell ref="C13:C15"/>
    <mergeCell ref="D13:D15"/>
    <mergeCell ref="E13:U13"/>
    <mergeCell ref="E14:F14"/>
    <mergeCell ref="G14:H14"/>
    <mergeCell ref="I14:J14"/>
    <mergeCell ref="K14:L14"/>
    <mergeCell ref="M14:N14"/>
    <mergeCell ref="O14:P14"/>
    <mergeCell ref="U4:U5"/>
    <mergeCell ref="B3:B5"/>
    <mergeCell ref="C3:C5"/>
    <mergeCell ref="D3:D5"/>
    <mergeCell ref="E3:U3"/>
    <mergeCell ref="E4:F4"/>
    <mergeCell ref="G4:H4"/>
    <mergeCell ref="I4:J4"/>
    <mergeCell ref="K4:L4"/>
    <mergeCell ref="M4:N4"/>
    <mergeCell ref="O4:P4"/>
    <mergeCell ref="Q4:R4"/>
    <mergeCell ref="S4:S5"/>
    <mergeCell ref="T4:T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zoomScale="220" zoomScaleNormal="220" workbookViewId="0">
      <selection activeCell="F5" sqref="F5:F9"/>
    </sheetView>
  </sheetViews>
  <sheetFormatPr defaultRowHeight="14.4"/>
  <cols>
    <col min="3" max="3" width="20.44140625" customWidth="1"/>
    <col min="4" max="6" width="10.6640625" customWidth="1"/>
  </cols>
  <sheetData>
    <row r="2" spans="2:6">
      <c r="B2" s="41" t="s">
        <v>0</v>
      </c>
      <c r="C2" s="41" t="s">
        <v>1</v>
      </c>
      <c r="D2" s="41" t="s">
        <v>48</v>
      </c>
      <c r="E2" s="41" t="s">
        <v>49</v>
      </c>
      <c r="F2" s="41" t="s">
        <v>50</v>
      </c>
    </row>
    <row r="3" spans="2:6">
      <c r="B3" s="41"/>
      <c r="C3" s="41"/>
      <c r="D3" s="41"/>
      <c r="E3" s="41"/>
      <c r="F3" s="41"/>
    </row>
    <row r="4" spans="2:6">
      <c r="B4" s="41"/>
      <c r="C4" s="41"/>
      <c r="D4" s="41"/>
      <c r="E4" s="41"/>
      <c r="F4" s="41"/>
    </row>
    <row r="5" spans="2:6">
      <c r="B5" s="38">
        <v>1</v>
      </c>
      <c r="C5" s="39" t="s">
        <v>22</v>
      </c>
      <c r="D5" s="39">
        <f>Stage1_Judgment!W8</f>
        <v>100</v>
      </c>
      <c r="E5" s="39">
        <f>Stage2_Judgment!H29</f>
        <v>134.73571428571429</v>
      </c>
      <c r="F5" s="39">
        <f t="shared" ref="F5:F9" si="0" xml:space="preserve"> 0.4*D5+0.6*E5</f>
        <v>120.84142857142858</v>
      </c>
    </row>
    <row r="6" spans="2:6">
      <c r="B6" s="38">
        <v>2</v>
      </c>
      <c r="C6" s="39" t="s">
        <v>32</v>
      </c>
      <c r="D6" s="39">
        <f>Stage1_Judgment!W10</f>
        <v>72.243714272551316</v>
      </c>
      <c r="E6" s="39">
        <f>Stage2_Judgment!H26</f>
        <v>140.36904761904762</v>
      </c>
      <c r="F6" s="39">
        <f t="shared" si="0"/>
        <v>113.1189142804491</v>
      </c>
    </row>
    <row r="7" spans="2:6">
      <c r="B7" s="38">
        <v>3</v>
      </c>
      <c r="C7" s="39" t="s">
        <v>24</v>
      </c>
      <c r="D7" s="39">
        <f>Stage1_Judgment!W12</f>
        <v>97.45882578796423</v>
      </c>
      <c r="E7" s="39">
        <v>0</v>
      </c>
      <c r="F7" s="39">
        <f t="shared" si="0"/>
        <v>38.983530315185696</v>
      </c>
    </row>
    <row r="8" spans="2:6">
      <c r="B8" s="38">
        <v>4</v>
      </c>
      <c r="C8" s="39" t="s">
        <v>30</v>
      </c>
      <c r="D8" s="39">
        <f>Stage1_Judgment!W11</f>
        <v>46.100190821582189</v>
      </c>
      <c r="E8" s="39">
        <f>Stage2_Judgment!H30</f>
        <v>23.864285714285717</v>
      </c>
      <c r="F8" s="39">
        <f t="shared" si="0"/>
        <v>32.758647757204308</v>
      </c>
    </row>
    <row r="9" spans="2:6">
      <c r="B9" s="32">
        <v>5</v>
      </c>
      <c r="C9" s="30" t="s">
        <v>26</v>
      </c>
      <c r="D9" s="31">
        <f>Stage1_Judgment!W9</f>
        <v>6.1509049945050034E-2</v>
      </c>
      <c r="E9" s="31">
        <f>Stage2_Judgment!H31</f>
        <v>42.976190476190474</v>
      </c>
      <c r="F9" s="31">
        <f t="shared" si="0"/>
        <v>25.810317905692305</v>
      </c>
    </row>
    <row r="10" spans="2:6">
      <c r="B10" s="32">
        <v>6</v>
      </c>
      <c r="C10" s="30" t="s">
        <v>28</v>
      </c>
      <c r="D10" s="31" t="s">
        <v>57</v>
      </c>
      <c r="E10" s="31" t="s">
        <v>57</v>
      </c>
      <c r="F10" s="31" t="s">
        <v>58</v>
      </c>
    </row>
    <row r="30" spans="16:16">
      <c r="P30" t="s">
        <v>56</v>
      </c>
    </row>
  </sheetData>
  <sortState ref="C5:F10">
    <sortCondition descending="1" ref="F5:F10"/>
  </sortState>
  <mergeCells count="5">
    <mergeCell ref="B2:B4"/>
    <mergeCell ref="C2:C4"/>
    <mergeCell ref="D2:D4"/>
    <mergeCell ref="E2:E4"/>
    <mergeCell ref="F2:F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workbookViewId="0">
      <selection activeCell="A17" sqref="A17"/>
    </sheetView>
  </sheetViews>
  <sheetFormatPr defaultRowHeight="14.4"/>
  <cols>
    <col min="3" max="3" width="18.21875" customWidth="1"/>
    <col min="4" max="21" width="10.77734375" customWidth="1"/>
  </cols>
  <sheetData>
    <row r="2" spans="2:21">
      <c r="B2" s="13" t="s">
        <v>19</v>
      </c>
      <c r="C2" s="35">
        <v>0.2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>
      <c r="B3" s="41" t="s">
        <v>0</v>
      </c>
      <c r="C3" s="41" t="s">
        <v>1</v>
      </c>
      <c r="D3" s="49" t="s">
        <v>53</v>
      </c>
      <c r="E3" s="41" t="s">
        <v>41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2:21">
      <c r="B4" s="41"/>
      <c r="C4" s="41"/>
      <c r="D4" s="42"/>
      <c r="E4" s="41" t="s">
        <v>34</v>
      </c>
      <c r="F4" s="41"/>
      <c r="G4" s="41" t="s">
        <v>35</v>
      </c>
      <c r="H4" s="41"/>
      <c r="I4" s="50" t="s">
        <v>36</v>
      </c>
      <c r="J4" s="50"/>
      <c r="K4" s="41" t="s">
        <v>37</v>
      </c>
      <c r="L4" s="41"/>
      <c r="M4" s="41" t="s">
        <v>38</v>
      </c>
      <c r="N4" s="41"/>
      <c r="O4" s="41" t="s">
        <v>39</v>
      </c>
      <c r="P4" s="41"/>
      <c r="Q4" s="41" t="s">
        <v>40</v>
      </c>
      <c r="R4" s="41"/>
      <c r="S4" s="41" t="s">
        <v>20</v>
      </c>
      <c r="T4" s="41" t="s">
        <v>21</v>
      </c>
      <c r="U4" s="41" t="s">
        <v>43</v>
      </c>
    </row>
    <row r="5" spans="2:21">
      <c r="B5" s="41"/>
      <c r="C5" s="41"/>
      <c r="D5" s="42"/>
      <c r="E5" s="35" t="s">
        <v>8</v>
      </c>
      <c r="F5" s="35" t="s">
        <v>18</v>
      </c>
      <c r="G5" s="35" t="s">
        <v>8</v>
      </c>
      <c r="H5" s="35" t="s">
        <v>18</v>
      </c>
      <c r="I5" s="37" t="s">
        <v>8</v>
      </c>
      <c r="J5" s="37" t="s">
        <v>18</v>
      </c>
      <c r="K5" s="35" t="s">
        <v>8</v>
      </c>
      <c r="L5" s="35" t="s">
        <v>18</v>
      </c>
      <c r="M5" s="35" t="s">
        <v>8</v>
      </c>
      <c r="N5" s="35" t="s">
        <v>18</v>
      </c>
      <c r="O5" s="35" t="s">
        <v>8</v>
      </c>
      <c r="P5" s="35" t="s">
        <v>18</v>
      </c>
      <c r="Q5" s="35" t="s">
        <v>8</v>
      </c>
      <c r="R5" s="35" t="s">
        <v>18</v>
      </c>
      <c r="S5" s="41"/>
      <c r="T5" s="41"/>
      <c r="U5" s="41"/>
    </row>
    <row r="6" spans="2:21">
      <c r="B6" s="35">
        <v>1</v>
      </c>
      <c r="C6" s="35" t="s">
        <v>59</v>
      </c>
      <c r="D6" s="36">
        <v>1.3</v>
      </c>
      <c r="E6" s="36">
        <v>3.7999999999999999E-2</v>
      </c>
      <c r="F6" s="36">
        <f xml:space="preserve"> IF(E6&lt;=C2,100/7*(1-E6/2/C2),0)</f>
        <v>12.928571428571429</v>
      </c>
      <c r="G6" s="36">
        <v>0.46400000000000002</v>
      </c>
      <c r="H6" s="36">
        <f xml:space="preserve"> IF(G6&lt;=C2,100/7*(1-G6/2/C2),0)</f>
        <v>0</v>
      </c>
      <c r="I6" s="36" t="s">
        <v>63</v>
      </c>
      <c r="J6" s="36">
        <f xml:space="preserve"> IF(I6&lt;=C2,100/7*(1-I6/2/C2),0)</f>
        <v>0</v>
      </c>
      <c r="K6" s="36" t="s">
        <v>63</v>
      </c>
      <c r="L6" s="36">
        <f xml:space="preserve"> IF(K6&lt;=C2,100/7*(1-K6/2/C2),0)</f>
        <v>0</v>
      </c>
      <c r="M6" s="36" t="s">
        <v>63</v>
      </c>
      <c r="N6" s="36">
        <f xml:space="preserve"> IF(M6&lt;=C2,100/7*(1-M6/2/C2),0)</f>
        <v>0</v>
      </c>
      <c r="O6" s="36" t="s">
        <v>63</v>
      </c>
      <c r="P6" s="36">
        <f xml:space="preserve"> IF(O6&lt;=C2,100/7*(1-O6/2/C2),0)</f>
        <v>0</v>
      </c>
      <c r="Q6" s="36" t="s">
        <v>63</v>
      </c>
      <c r="R6" s="36">
        <f xml:space="preserve"> IF(Q6&lt;=C2,100/7*(1-Q6/2/C2),0)</f>
        <v>0</v>
      </c>
      <c r="S6" s="36">
        <v>0</v>
      </c>
      <c r="T6" s="36">
        <v>0</v>
      </c>
      <c r="U6" s="36">
        <f xml:space="preserve"> SUM(F6,H6,J6,L6,N6,P6,R6)+S6*100/7-T6*25/7</f>
        <v>12.928571428571429</v>
      </c>
    </row>
    <row r="7" spans="2:21">
      <c r="B7" s="35">
        <v>2</v>
      </c>
      <c r="C7" s="35" t="s">
        <v>60</v>
      </c>
      <c r="D7" s="36">
        <v>1</v>
      </c>
      <c r="E7" s="36">
        <v>3.61</v>
      </c>
      <c r="F7" s="36">
        <f xml:space="preserve"> IF(E7&lt;=C2,100/7*(1-E7/2/C2),0)</f>
        <v>0</v>
      </c>
      <c r="G7" s="36">
        <v>3.4449999999999998</v>
      </c>
      <c r="H7" s="36">
        <f xml:space="preserve"> IF(G7&lt;=C2,100/7*(1-G7/2/C2),0)</f>
        <v>0</v>
      </c>
      <c r="I7" s="36">
        <v>2.5659999999999998</v>
      </c>
      <c r="J7" s="36">
        <f xml:space="preserve"> IF(I7&lt;=C2,100/7*(1-I7/2/C2),0)</f>
        <v>0</v>
      </c>
      <c r="K7" s="36">
        <v>0.121</v>
      </c>
      <c r="L7" s="36">
        <f xml:space="preserve"> IF(K7&lt;=C2,100/7*(1-K7/2/C2),0)</f>
        <v>9.9642857142857153</v>
      </c>
      <c r="M7" s="36">
        <v>3.6629999999999998</v>
      </c>
      <c r="N7" s="36">
        <f xml:space="preserve"> IF(M7&lt;=C2,100/7*(1-M7/2/C2),0)</f>
        <v>0</v>
      </c>
      <c r="O7" s="36">
        <v>0.61399999999999999</v>
      </c>
      <c r="P7" s="36">
        <f xml:space="preserve"> IF(O7&lt;=C2,100/7*(1-O7/2/C2),0)</f>
        <v>0</v>
      </c>
      <c r="Q7" s="36" t="s">
        <v>63</v>
      </c>
      <c r="R7" s="36">
        <f xml:space="preserve"> IF(Q7&lt;=C2,100/7*(1-Q7/2/C2),0)</f>
        <v>0</v>
      </c>
      <c r="S7" s="36">
        <v>0</v>
      </c>
      <c r="T7" s="36">
        <v>1</v>
      </c>
      <c r="U7" s="36">
        <f xml:space="preserve"> SUM(F7,H7,J7,L7,N7,P7,R7)+S7*100/7-T7*25/7</f>
        <v>6.3928571428571441</v>
      </c>
    </row>
    <row r="8" spans="2:21">
      <c r="B8" s="35">
        <v>3</v>
      </c>
      <c r="C8" s="35" t="s">
        <v>61</v>
      </c>
      <c r="D8" s="36">
        <v>1.3</v>
      </c>
      <c r="E8" s="36">
        <v>6.3E-2</v>
      </c>
      <c r="F8" s="36">
        <f xml:space="preserve"> IF(E8&lt;=C2,100/7*(1-E8/2/C2),0)</f>
        <v>12.035714285714286</v>
      </c>
      <c r="G8" s="36">
        <v>9.1999999999999998E-2</v>
      </c>
      <c r="H8" s="36">
        <f xml:space="preserve"> IF(G8&lt;=C2,100/7*(1-G8/2/C2),0)</f>
        <v>11</v>
      </c>
      <c r="I8" s="36">
        <v>7.0999999999999994E-2</v>
      </c>
      <c r="J8" s="36">
        <f xml:space="preserve"> IF(I8&lt;=C2,100/7*(1-I8/2/C2),0)</f>
        <v>11.75</v>
      </c>
      <c r="K8" s="36">
        <v>6.0999999999999999E-2</v>
      </c>
      <c r="L8" s="36">
        <f xml:space="preserve"> IF(K8&lt;=C2,100/7*(1-K8/2/C2),0)</f>
        <v>12.107142857142858</v>
      </c>
      <c r="M8" s="36">
        <v>6.0999999999999999E-2</v>
      </c>
      <c r="N8" s="36">
        <f xml:space="preserve"> IF(M8&lt;=C2,100/7*(1-M8/2/C2),0)</f>
        <v>12.107142857142858</v>
      </c>
      <c r="O8" s="36">
        <v>4.2000000000000003E-2</v>
      </c>
      <c r="P8" s="36">
        <f xml:space="preserve"> IF(O8&lt;=C2,100/7*(1-O8/2/C2),0)</f>
        <v>12.785714285714286</v>
      </c>
      <c r="Q8" s="36">
        <v>2.1999999999999999E-2</v>
      </c>
      <c r="R8" s="36">
        <f xml:space="preserve"> IF(Q8&lt;=C2,100/7*(1-Q8/2/C2),0)</f>
        <v>13.500000000000002</v>
      </c>
      <c r="S8" s="36">
        <v>2</v>
      </c>
      <c r="T8" s="36">
        <v>0</v>
      </c>
      <c r="U8" s="36">
        <f xml:space="preserve"> SUM(F8,H8,J8,L8,N8,P8,R8)+S8*100/7-T8*25/7</f>
        <v>113.85714285714286</v>
      </c>
    </row>
    <row r="9" spans="2:21">
      <c r="B9" s="35">
        <v>4</v>
      </c>
      <c r="C9" s="35" t="s">
        <v>62</v>
      </c>
      <c r="D9" s="36">
        <v>1.3</v>
      </c>
      <c r="E9" s="36">
        <v>0.14399999999999999</v>
      </c>
      <c r="F9" s="36">
        <f xml:space="preserve"> IF(E9&lt;=C2,100/7*(1-E9/2/C2),0)</f>
        <v>9.1428571428571459</v>
      </c>
      <c r="G9" s="36">
        <v>7.9000000000000001E-2</v>
      </c>
      <c r="H9" s="36">
        <f xml:space="preserve"> IF(G9&lt;=C2,100/7*(1-G9/2/C2),0)</f>
        <v>11.464285714285715</v>
      </c>
      <c r="I9" s="36" t="s">
        <v>63</v>
      </c>
      <c r="J9" s="36">
        <f xml:space="preserve"> IF(I9&lt;=C2,100/7*(1-I9/2/C2),0)</f>
        <v>0</v>
      </c>
      <c r="K9" s="36" t="s">
        <v>63</v>
      </c>
      <c r="L9" s="36">
        <f xml:space="preserve"> IF(K9&lt;=C2,100/7*(1-K9/2/C2),0)</f>
        <v>0</v>
      </c>
      <c r="M9" s="36" t="s">
        <v>63</v>
      </c>
      <c r="N9" s="36">
        <f xml:space="preserve"> IF(M9&lt;=C2,100/7*(1-M9/2/C2),0)</f>
        <v>0</v>
      </c>
      <c r="O9" s="36" t="s">
        <v>63</v>
      </c>
      <c r="P9" s="36">
        <f xml:space="preserve"> IF(O9&lt;=C2,100/7*(1-O9/2/C2),0)</f>
        <v>0</v>
      </c>
      <c r="Q9" s="36" t="s">
        <v>63</v>
      </c>
      <c r="R9" s="36">
        <f xml:space="preserve"> IF(Q9&lt;=C2,100/7*(1-Q9/2/C2),0)</f>
        <v>0</v>
      </c>
      <c r="S9" s="36">
        <v>1</v>
      </c>
      <c r="T9" s="36">
        <v>0</v>
      </c>
      <c r="U9" s="36">
        <f xml:space="preserve"> SUM(F9,H9,J9,L9,N9,P9,R9)+S9*100/7-T9*25/7</f>
        <v>34.892857142857146</v>
      </c>
    </row>
    <row r="10" spans="2:21">
      <c r="B10" s="13" t="s">
        <v>19</v>
      </c>
      <c r="C10" s="35">
        <f xml:space="preserve"> C2</f>
        <v>0.2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>
      <c r="B11" s="41" t="s">
        <v>0</v>
      </c>
      <c r="C11" s="41" t="s">
        <v>1</v>
      </c>
      <c r="D11" s="49" t="s">
        <v>52</v>
      </c>
      <c r="E11" s="41" t="s">
        <v>42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2:21">
      <c r="B12" s="41"/>
      <c r="C12" s="41"/>
      <c r="D12" s="42"/>
      <c r="E12" s="41" t="s">
        <v>34</v>
      </c>
      <c r="F12" s="41"/>
      <c r="G12" s="41" t="s">
        <v>35</v>
      </c>
      <c r="H12" s="41"/>
      <c r="I12" s="50" t="s">
        <v>36</v>
      </c>
      <c r="J12" s="50"/>
      <c r="K12" s="41" t="s">
        <v>37</v>
      </c>
      <c r="L12" s="41"/>
      <c r="M12" s="41" t="s">
        <v>38</v>
      </c>
      <c r="N12" s="41"/>
      <c r="O12" s="41" t="s">
        <v>39</v>
      </c>
      <c r="P12" s="41"/>
      <c r="Q12" s="41" t="s">
        <v>40</v>
      </c>
      <c r="R12" s="41"/>
      <c r="S12" s="41" t="s">
        <v>20</v>
      </c>
      <c r="T12" s="41" t="s">
        <v>21</v>
      </c>
      <c r="U12" s="41" t="s">
        <v>44</v>
      </c>
    </row>
    <row r="13" spans="2:21">
      <c r="B13" s="41"/>
      <c r="C13" s="41"/>
      <c r="D13" s="42"/>
      <c r="E13" s="35" t="s">
        <v>8</v>
      </c>
      <c r="F13" s="35" t="s">
        <v>18</v>
      </c>
      <c r="G13" s="35" t="s">
        <v>8</v>
      </c>
      <c r="H13" s="35" t="s">
        <v>18</v>
      </c>
      <c r="I13" s="37" t="s">
        <v>8</v>
      </c>
      <c r="J13" s="37" t="s">
        <v>18</v>
      </c>
      <c r="K13" s="35" t="s">
        <v>8</v>
      </c>
      <c r="L13" s="35" t="s">
        <v>18</v>
      </c>
      <c r="M13" s="35" t="s">
        <v>8</v>
      </c>
      <c r="N13" s="35" t="s">
        <v>18</v>
      </c>
      <c r="O13" s="35" t="s">
        <v>8</v>
      </c>
      <c r="P13" s="35" t="s">
        <v>18</v>
      </c>
      <c r="Q13" s="35" t="s">
        <v>8</v>
      </c>
      <c r="R13" s="35" t="s">
        <v>18</v>
      </c>
      <c r="S13" s="41"/>
      <c r="T13" s="41"/>
      <c r="U13" s="41"/>
    </row>
    <row r="14" spans="2:21">
      <c r="B14" s="35">
        <v>1</v>
      </c>
      <c r="C14" s="35" t="str">
        <f>C6</f>
        <v>洛阳理工</v>
      </c>
      <c r="D14" s="36">
        <v>1</v>
      </c>
      <c r="E14" s="36">
        <v>2.3E-2</v>
      </c>
      <c r="F14" s="36">
        <f xml:space="preserve"> IF(E14&lt;=C10,100/7*(1-E14/2/C10),0)</f>
        <v>13.464285714285715</v>
      </c>
      <c r="G14" s="36">
        <v>0.187</v>
      </c>
      <c r="H14" s="36">
        <f xml:space="preserve"> IF(G14&lt;=C10,100/7*(1-G14/2/C10),0)</f>
        <v>7.6071428571428568</v>
      </c>
      <c r="I14" s="36">
        <v>0.17</v>
      </c>
      <c r="J14" s="36">
        <f xml:space="preserve"> IF(I14&lt;=C10,100/7*(1-I14/2/C10),0)</f>
        <v>8.2142857142857135</v>
      </c>
      <c r="K14" s="36">
        <v>0.38500000000000001</v>
      </c>
      <c r="L14" s="36">
        <f xml:space="preserve"> IF(K14&lt;=C10,100/7*(1-K14/2/C10),0)</f>
        <v>0</v>
      </c>
      <c r="M14" s="36">
        <v>0.77600000000000002</v>
      </c>
      <c r="N14" s="36">
        <f xml:space="preserve"> IF(M14&lt;=C10,100/7*(1-M14/2/C10),0)</f>
        <v>0</v>
      </c>
      <c r="O14" s="36">
        <v>0.68200000000000005</v>
      </c>
      <c r="P14" s="36">
        <f xml:space="preserve"> IF(O14&lt;=C10,100/7*(1-O14/2/C10),0)</f>
        <v>0</v>
      </c>
      <c r="Q14" s="36">
        <v>0.96699999999999997</v>
      </c>
      <c r="R14" s="36">
        <f xml:space="preserve"> IF(Q14&lt;=C10,100/7*(1-Q14/2/C10),0)</f>
        <v>0</v>
      </c>
      <c r="S14" s="36">
        <v>0</v>
      </c>
      <c r="T14" s="36">
        <v>2</v>
      </c>
      <c r="U14" s="36">
        <f xml:space="preserve"> SUM(F14,H14,J14,L14,N14,P14,R14)+S14*100/7-T14*25/7</f>
        <v>22.142857142857142</v>
      </c>
    </row>
    <row r="15" spans="2:21">
      <c r="B15" s="35">
        <v>2</v>
      </c>
      <c r="C15" s="35" t="str">
        <f>C7</f>
        <v>安徽建筑</v>
      </c>
      <c r="D15" s="36">
        <v>1.3</v>
      </c>
      <c r="E15" s="36">
        <v>3.5979999999999999</v>
      </c>
      <c r="F15" s="36">
        <f xml:space="preserve"> IF(E15&lt;=C10,100/7*(1-E15/2/C10),0)</f>
        <v>0</v>
      </c>
      <c r="G15" s="36">
        <v>3.359</v>
      </c>
      <c r="H15" s="36">
        <f xml:space="preserve"> IF(G15&lt;=C10,100/7*(1-G15/2/C10),0)</f>
        <v>0</v>
      </c>
      <c r="I15" s="36">
        <v>2.4590000000000001</v>
      </c>
      <c r="J15" s="36">
        <f xml:space="preserve"> IF(I15&lt;=C10,100/7*(1-I15/2/C10),0)</f>
        <v>0</v>
      </c>
      <c r="K15" s="36">
        <v>0.28899999999999998</v>
      </c>
      <c r="L15" s="36">
        <f xml:space="preserve"> IF(K15&lt;=C10,100/7*(1-K15/2/C10),0)</f>
        <v>0</v>
      </c>
      <c r="M15" s="36">
        <v>3.5720000000000001</v>
      </c>
      <c r="N15" s="36">
        <f xml:space="preserve"> IF(M15&lt;=C10,100/7*(1-M15/2/C10),0)</f>
        <v>0</v>
      </c>
      <c r="O15" s="36">
        <v>0.78100000000000003</v>
      </c>
      <c r="P15" s="36">
        <f xml:space="preserve"> IF(O15&lt;=C10,100/7*(1-O15/2/C10),0)</f>
        <v>0</v>
      </c>
      <c r="Q15" s="36" t="s">
        <v>63</v>
      </c>
      <c r="R15" s="36">
        <f xml:space="preserve"> IF(Q15&lt;=C10,100/7*(1-Q15/2/C10),0)</f>
        <v>0</v>
      </c>
      <c r="S15" s="36">
        <v>0</v>
      </c>
      <c r="T15" s="36">
        <v>2</v>
      </c>
      <c r="U15" s="36">
        <f xml:space="preserve"> SUM(F15,H15,J15,L15,N15,P15,R15)+S15*100/7-T15*25/7</f>
        <v>-7.1428571428571432</v>
      </c>
    </row>
    <row r="16" spans="2:21">
      <c r="B16" s="35">
        <v>3</v>
      </c>
      <c r="C16" s="35" t="str">
        <f>C8</f>
        <v>中国科学技术大学</v>
      </c>
      <c r="D16" s="36">
        <v>1.3</v>
      </c>
      <c r="E16" s="36">
        <v>5.3999999999999999E-2</v>
      </c>
      <c r="F16" s="36">
        <f xml:space="preserve"> IF(E16&lt;=C10,100/7*(1-E16/2/C10),0)</f>
        <v>12.357142857142858</v>
      </c>
      <c r="G16" s="36">
        <v>0.04</v>
      </c>
      <c r="H16" s="36">
        <f xml:space="preserve"> IF(G16&lt;=C10,100/7*(1-G16/2/C10),0)</f>
        <v>12.857142857142858</v>
      </c>
      <c r="I16" s="36">
        <v>0</v>
      </c>
      <c r="J16" s="36">
        <f xml:space="preserve"> IF(I16&lt;=C10,100/7*(1-I16/2/C10),0)</f>
        <v>14.285714285714286</v>
      </c>
      <c r="K16" s="36">
        <v>7.2999999999999995E-2</v>
      </c>
      <c r="L16" s="36">
        <f xml:space="preserve"> IF(K16&lt;=C10,100/7*(1-K16/2/C10),0)</f>
        <v>11.678571428571429</v>
      </c>
      <c r="M16" s="36">
        <v>5.8000000000000003E-2</v>
      </c>
      <c r="N16" s="36">
        <f xml:space="preserve"> IF(M16&lt;=C10,100/7*(1-M16/2/C10),0)</f>
        <v>12.214285714285715</v>
      </c>
      <c r="O16" s="36">
        <v>0.08</v>
      </c>
      <c r="P16" s="36">
        <f xml:space="preserve"> IF(O16&lt;=C10,100/7*(1-O16/2/C10),0)</f>
        <v>11.428571428571431</v>
      </c>
      <c r="Q16" s="36">
        <v>9.4E-2</v>
      </c>
      <c r="R16" s="36">
        <f xml:space="preserve"> IF(Q16&lt;=C10,100/7*(1-Q16/2/C10),0)</f>
        <v>10.928571428571429</v>
      </c>
      <c r="S16" s="36">
        <v>2</v>
      </c>
      <c r="T16" s="36">
        <v>0</v>
      </c>
      <c r="U16" s="36">
        <f xml:space="preserve"> SUM(F16,H16,J16,L16,N16,P16,R16)+S16*100/7-T16*25/7</f>
        <v>114.32142857142858</v>
      </c>
    </row>
    <row r="17" spans="2:21">
      <c r="B17" s="35">
        <v>4</v>
      </c>
      <c r="C17" s="35" t="str">
        <f>C9</f>
        <v>上海交大</v>
      </c>
      <c r="D17" s="36">
        <v>1.3</v>
      </c>
      <c r="E17" s="36">
        <v>0.108</v>
      </c>
      <c r="F17" s="36">
        <f xml:space="preserve"> IF(E17&lt;=C10,100/7*(1-E17/2/C10),0)</f>
        <v>10.428571428571429</v>
      </c>
      <c r="G17" s="36">
        <v>0.155</v>
      </c>
      <c r="H17" s="36">
        <f xml:space="preserve"> IF(G17&lt;=C10,100/7*(1-G17/2/C10),0)</f>
        <v>8.7500000000000018</v>
      </c>
      <c r="I17" s="36">
        <v>0.13300000000000001</v>
      </c>
      <c r="J17" s="36">
        <f xml:space="preserve"> IF(I17&lt;=C10,100/7*(1-I17/2/C10),0)</f>
        <v>9.5357142857142865</v>
      </c>
      <c r="K17" s="36">
        <v>0.105</v>
      </c>
      <c r="L17" s="36">
        <f xml:space="preserve"> IF(K17&lt;=C10,100/7*(1-K17/2/C10),0)</f>
        <v>10.535714285714286</v>
      </c>
      <c r="M17" s="36">
        <v>0.105</v>
      </c>
      <c r="N17" s="36">
        <f xml:space="preserve"> IF(M17&lt;=C10,100/7*(1-M17/2/C10),0)</f>
        <v>10.535714285714286</v>
      </c>
      <c r="O17" s="36">
        <v>0.10199999999999999</v>
      </c>
      <c r="P17" s="36">
        <f xml:space="preserve"> IF(O17&lt;=C10,100/7*(1-O17/2/C10),0)</f>
        <v>10.642857142857144</v>
      </c>
      <c r="Q17" s="36" t="s">
        <v>63</v>
      </c>
      <c r="R17" s="36">
        <f xml:space="preserve"> IF(Q17&lt;=C10,100/7*(1-Q17/2/C10),0)</f>
        <v>0</v>
      </c>
      <c r="S17" s="36">
        <v>2</v>
      </c>
      <c r="T17" s="36">
        <v>0</v>
      </c>
      <c r="U17" s="36">
        <f xml:space="preserve"> SUM(F17,H17,J17,L17,N17,P17,R17)+S17*100/7-T17*25/7</f>
        <v>89</v>
      </c>
    </row>
    <row r="19" spans="2:21">
      <c r="B19" s="41" t="s">
        <v>0</v>
      </c>
      <c r="C19" s="41" t="s">
        <v>1</v>
      </c>
      <c r="D19" s="41" t="s">
        <v>43</v>
      </c>
      <c r="E19" s="47" t="s">
        <v>45</v>
      </c>
      <c r="F19" s="41" t="s">
        <v>44</v>
      </c>
      <c r="G19" s="47" t="s">
        <v>46</v>
      </c>
      <c r="H19" s="47" t="s">
        <v>51</v>
      </c>
    </row>
    <row r="20" spans="2:21">
      <c r="B20" s="41"/>
      <c r="C20" s="41"/>
      <c r="D20" s="41"/>
      <c r="E20" s="47"/>
      <c r="F20" s="41"/>
      <c r="G20" s="47"/>
      <c r="H20" s="47"/>
    </row>
    <row r="21" spans="2:21">
      <c r="B21" s="41"/>
      <c r="C21" s="41"/>
      <c r="D21" s="41"/>
      <c r="E21" s="47"/>
      <c r="F21" s="41"/>
      <c r="G21" s="47"/>
      <c r="H21" s="47"/>
    </row>
    <row r="22" spans="2:21">
      <c r="B22" s="15">
        <v>1</v>
      </c>
      <c r="C22" s="15" t="str">
        <f>C6</f>
        <v>洛阳理工</v>
      </c>
      <c r="D22" s="19">
        <f xml:space="preserve"> U6</f>
        <v>12.928571428571429</v>
      </c>
      <c r="E22" s="12">
        <f>D6</f>
        <v>1.3</v>
      </c>
      <c r="F22" s="19">
        <f>U14</f>
        <v>22.142857142857142</v>
      </c>
      <c r="G22" s="12">
        <f>D14</f>
        <v>1</v>
      </c>
      <c r="H22" s="12">
        <f xml:space="preserve"> MAX(D22*E22,F22*G22)</f>
        <v>22.142857142857142</v>
      </c>
    </row>
    <row r="23" spans="2:21">
      <c r="B23" s="15">
        <v>2</v>
      </c>
      <c r="C23" s="15" t="str">
        <f>C7</f>
        <v>安徽建筑</v>
      </c>
      <c r="D23" s="19">
        <f>U7</f>
        <v>6.3928571428571441</v>
      </c>
      <c r="E23" s="12">
        <f>D7</f>
        <v>1</v>
      </c>
      <c r="F23" s="19">
        <f>U15</f>
        <v>-7.1428571428571432</v>
      </c>
      <c r="G23" s="12">
        <f>D15</f>
        <v>1.3</v>
      </c>
      <c r="H23" s="12">
        <f xml:space="preserve"> MAX(D23*E23,F23*G23)</f>
        <v>6.3928571428571441</v>
      </c>
    </row>
    <row r="24" spans="2:21">
      <c r="B24" s="15">
        <v>3</v>
      </c>
      <c r="C24" s="15" t="str">
        <f>C8</f>
        <v>中国科学技术大学</v>
      </c>
      <c r="D24" s="19">
        <f>U8</f>
        <v>113.85714285714286</v>
      </c>
      <c r="E24" s="12">
        <f>D8</f>
        <v>1.3</v>
      </c>
      <c r="F24" s="19">
        <f>U16</f>
        <v>114.32142857142858</v>
      </c>
      <c r="G24" s="12">
        <f>D16</f>
        <v>1.3</v>
      </c>
      <c r="H24" s="12">
        <f xml:space="preserve"> MAX(D24*E24,F24*G24)</f>
        <v>148.61785714285716</v>
      </c>
    </row>
    <row r="25" spans="2:21">
      <c r="B25" s="15">
        <v>4</v>
      </c>
      <c r="C25" s="15" t="str">
        <f>C9</f>
        <v>上海交大</v>
      </c>
      <c r="D25" s="19">
        <f>U9</f>
        <v>34.892857142857146</v>
      </c>
      <c r="E25" s="12">
        <f>D9</f>
        <v>1.3</v>
      </c>
      <c r="F25" s="19">
        <f>U17</f>
        <v>89</v>
      </c>
      <c r="G25" s="12">
        <f>D17</f>
        <v>1.3</v>
      </c>
      <c r="H25" s="12">
        <f xml:space="preserve"> MAX(D25*E25,F25*G25)</f>
        <v>115.7</v>
      </c>
    </row>
  </sheetData>
  <mergeCells count="35">
    <mergeCell ref="U12:U13"/>
    <mergeCell ref="B19:B21"/>
    <mergeCell ref="C19:C21"/>
    <mergeCell ref="D19:D21"/>
    <mergeCell ref="E19:E21"/>
    <mergeCell ref="F19:F21"/>
    <mergeCell ref="G19:G21"/>
    <mergeCell ref="H19:H21"/>
    <mergeCell ref="I12:J12"/>
    <mergeCell ref="K12:L12"/>
    <mergeCell ref="M12:N12"/>
    <mergeCell ref="O12:P12"/>
    <mergeCell ref="Q12:R12"/>
    <mergeCell ref="S12:S13"/>
    <mergeCell ref="S4:S5"/>
    <mergeCell ref="T4:T5"/>
    <mergeCell ref="U4:U5"/>
    <mergeCell ref="B11:B13"/>
    <mergeCell ref="C11:C13"/>
    <mergeCell ref="D11:D13"/>
    <mergeCell ref="E11:U11"/>
    <mergeCell ref="E12:F12"/>
    <mergeCell ref="G12:H12"/>
    <mergeCell ref="B3:B5"/>
    <mergeCell ref="C3:C5"/>
    <mergeCell ref="D3:D5"/>
    <mergeCell ref="E3:U3"/>
    <mergeCell ref="E4:F4"/>
    <mergeCell ref="G4:H4"/>
    <mergeCell ref="T12:T13"/>
    <mergeCell ref="I4:J4"/>
    <mergeCell ref="K4:L4"/>
    <mergeCell ref="M4:N4"/>
    <mergeCell ref="O4:P4"/>
    <mergeCell ref="Q4:R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zoomScale="200" zoomScaleNormal="200" workbookViewId="0">
      <selection activeCell="C16" sqref="C16"/>
    </sheetView>
  </sheetViews>
  <sheetFormatPr defaultRowHeight="14.4"/>
  <cols>
    <col min="3" max="3" width="27" customWidth="1"/>
    <col min="4" max="6" width="8.88671875" style="55"/>
  </cols>
  <sheetData>
    <row r="2" spans="2:6" s="58" customFormat="1">
      <c r="B2" s="56" t="s">
        <v>0</v>
      </c>
      <c r="C2" s="56" t="s">
        <v>1</v>
      </c>
      <c r="D2" s="33" t="s">
        <v>64</v>
      </c>
      <c r="E2" s="33" t="s">
        <v>65</v>
      </c>
      <c r="F2" s="33" t="s">
        <v>67</v>
      </c>
    </row>
    <row r="3" spans="2:6">
      <c r="B3" s="53">
        <v>1</v>
      </c>
      <c r="C3" s="54" t="s">
        <v>32</v>
      </c>
      <c r="D3" s="57">
        <v>113.1189142804491</v>
      </c>
      <c r="E3" s="57">
        <f>决赛!H24</f>
        <v>148.61785714285716</v>
      </c>
      <c r="F3" s="57">
        <f>0.4*D3+0.6*E3</f>
        <v>134.41827999789393</v>
      </c>
    </row>
    <row r="4" spans="2:6">
      <c r="B4" s="53">
        <v>2</v>
      </c>
      <c r="C4" s="54" t="s">
        <v>22</v>
      </c>
      <c r="D4" s="57">
        <v>120.84142857142858</v>
      </c>
      <c r="E4" s="57">
        <f>决赛!H25</f>
        <v>115.7</v>
      </c>
      <c r="F4" s="57">
        <f>0.4*D4+0.6*E4</f>
        <v>117.75657142857143</v>
      </c>
    </row>
    <row r="5" spans="2:6">
      <c r="B5" s="53">
        <v>3</v>
      </c>
      <c r="C5" s="54" t="s">
        <v>30</v>
      </c>
      <c r="D5" s="57">
        <v>32.758647757204308</v>
      </c>
      <c r="E5" s="57">
        <f>决赛!H22</f>
        <v>22.142857142857142</v>
      </c>
      <c r="F5" s="57">
        <f>0.4*D5+0.6*E5</f>
        <v>26.389173388596006</v>
      </c>
    </row>
    <row r="6" spans="2:6">
      <c r="B6" s="53">
        <v>4</v>
      </c>
      <c r="C6" s="54" t="s">
        <v>24</v>
      </c>
      <c r="D6" s="57">
        <v>38.983530315185696</v>
      </c>
      <c r="E6" s="57">
        <f>决赛!H23</f>
        <v>6.3928571428571441</v>
      </c>
      <c r="F6" s="57">
        <f>0.4*D6+0.6*E6</f>
        <v>19.429126411788566</v>
      </c>
    </row>
    <row r="7" spans="2:6">
      <c r="B7" s="51">
        <v>5</v>
      </c>
      <c r="C7" s="52" t="s">
        <v>26</v>
      </c>
      <c r="D7" s="57">
        <v>25.810317905692305</v>
      </c>
      <c r="E7" s="57" t="s">
        <v>66</v>
      </c>
      <c r="F7" s="57">
        <f>0.4*D7</f>
        <v>10.324127162276923</v>
      </c>
    </row>
  </sheetData>
  <sortState ref="C3:F7">
    <sortCondition descending="1" ref="F3:F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Stage1_Judgment</vt:lpstr>
      <vt:lpstr>Stage2_Judgment</vt:lpstr>
      <vt:lpstr>预赛总分</vt:lpstr>
      <vt:lpstr>决赛</vt:lpstr>
      <vt:lpstr>结果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2015-10-19T03:20:44Z</dcterms:modified>
</cp:coreProperties>
</file>